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 2020\"/>
    </mc:Choice>
  </mc:AlternateContent>
  <xr:revisionPtr revIDLastSave="0" documentId="13_ncr:1_{FF37D1FF-F07F-4146-A772-D352F8D5E1E4}" xr6:coauthVersionLast="46" xr6:coauthVersionMax="46" xr10:uidLastSave="{00000000-0000-0000-0000-000000000000}"/>
  <bookViews>
    <workbookView xWindow="-120" yWindow="-120" windowWidth="29040" windowHeight="15840" tabRatio="855" xr2:uid="{00000000-000D-0000-FFFF-FFFF00000000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)" sheetId="7" r:id="rId6"/>
    <sheet name="Formato 6b)" sheetId="8" r:id="rId7"/>
    <sheet name="Formato 6c)" sheetId="9" r:id="rId8"/>
    <sheet name="Formato 6d)" sheetId="10" r:id="rId9"/>
    <sheet name="Formato 7a)" sheetId="11" r:id="rId10"/>
    <sheet name="Formato 7b)" sheetId="12" r:id="rId11"/>
    <sheet name="Formato 7c)" sheetId="13" r:id="rId12"/>
    <sheet name="Formato 7d)" sheetId="14" r:id="rId13"/>
    <sheet name="Formato 8" sheetId="15" r:id="rId14"/>
  </sheets>
  <externalReferences>
    <externalReference r:id="rId1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_xlnm.Print_Area" localSheetId="3">'Formato 4'!$A$1:$E$75</definedName>
    <definedName name="_xlnm.Print_Area" localSheetId="5">'Formato 6a)'!$A$1:$G$160</definedName>
    <definedName name="_xlnm.Print_Area" localSheetId="7">'Formato 6c)'!$A$1:$G$78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">'[1]Info General'!$C$6</definedName>
    <definedName name="ENTE_PUBLICO_A">'[1]Info General'!$C$7</definedName>
    <definedName name="ENTIDAD">'[1]Info General'!$C$11</definedName>
    <definedName name="MONTO1">'[1]Info General'!$D$18</definedName>
    <definedName name="MONTO2">'[1]Info General'!$E$18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_xlnm.Print_Titles" localSheetId="0">'Formato 1'!$1:$6</definedName>
    <definedName name="_xlnm.Print_Titles" localSheetId="4">'Formato 5'!$1:$7</definedName>
    <definedName name="_xlnm.Print_Titles" localSheetId="5">'Formato 6a)'!$1:$8</definedName>
    <definedName name="_xlnm.Print_Titles" localSheetId="7">'Formato 6c)'!$1:$8</definedName>
    <definedName name="_xlnm.Print_Titles" localSheetId="13">'Formato 8'!$1:$4</definedName>
    <definedName name="TRIMESTRE">'[1]Info General'!$C$16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5" l="1"/>
  <c r="G28" i="13" l="1"/>
  <c r="F53" i="9" l="1"/>
  <c r="E53" i="9"/>
  <c r="C21" i="9" l="1"/>
  <c r="C18" i="9"/>
  <c r="C20" i="9"/>
  <c r="F20" i="9" l="1"/>
  <c r="E20" i="9"/>
  <c r="D21" i="9" l="1"/>
  <c r="D20" i="9"/>
  <c r="F27" i="7"/>
  <c r="E27" i="7"/>
  <c r="C27" i="7"/>
  <c r="F50" i="7"/>
  <c r="E50" i="7"/>
  <c r="C50" i="7"/>
  <c r="C54" i="7"/>
  <c r="D61" i="7"/>
  <c r="D60" i="7"/>
  <c r="D59" i="7"/>
  <c r="F15" i="8" l="1"/>
  <c r="E15" i="8"/>
  <c r="C12" i="8"/>
  <c r="C15" i="8"/>
  <c r="C25" i="5" l="1"/>
  <c r="C38" i="7" l="1"/>
  <c r="C10" i="7" l="1"/>
  <c r="C18" i="7"/>
  <c r="F10" i="7"/>
  <c r="E10" i="7"/>
  <c r="C35" i="6" l="1"/>
  <c r="B25" i="2" l="1"/>
  <c r="A2" i="15" l="1"/>
  <c r="G18" i="14"/>
  <c r="F18" i="14"/>
  <c r="E18" i="14"/>
  <c r="D18" i="14"/>
  <c r="C18" i="14"/>
  <c r="B18" i="14"/>
  <c r="G7" i="14"/>
  <c r="F7" i="14"/>
  <c r="F29" i="14" s="1"/>
  <c r="E7" i="14"/>
  <c r="E29" i="14" s="1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G36" i="13"/>
  <c r="F36" i="13"/>
  <c r="E36" i="13"/>
  <c r="D36" i="13"/>
  <c r="C36" i="13"/>
  <c r="B36" i="13"/>
  <c r="F28" i="13"/>
  <c r="E28" i="13"/>
  <c r="D28" i="13"/>
  <c r="C28" i="13"/>
  <c r="B28" i="13"/>
  <c r="G21" i="13"/>
  <c r="F21" i="13"/>
  <c r="E21" i="13"/>
  <c r="D21" i="13"/>
  <c r="C21" i="13"/>
  <c r="B21" i="13"/>
  <c r="G7" i="13"/>
  <c r="G31" i="13" s="1"/>
  <c r="F7" i="13"/>
  <c r="F31" i="13" s="1"/>
  <c r="E7" i="13"/>
  <c r="E31" i="13" s="1"/>
  <c r="D7" i="13"/>
  <c r="C7" i="13"/>
  <c r="C31" i="13" s="1"/>
  <c r="B7" i="13"/>
  <c r="B31" i="13" s="1"/>
  <c r="G5" i="13"/>
  <c r="F5" i="13"/>
  <c r="E5" i="13"/>
  <c r="D5" i="13"/>
  <c r="C5" i="13"/>
  <c r="B5" i="13"/>
  <c r="G19" i="12"/>
  <c r="F19" i="12"/>
  <c r="E19" i="12"/>
  <c r="D19" i="12"/>
  <c r="C19" i="12"/>
  <c r="B19" i="12"/>
  <c r="G8" i="12"/>
  <c r="G30" i="12" s="1"/>
  <c r="F8" i="12"/>
  <c r="F30" i="12" s="1"/>
  <c r="E8" i="12"/>
  <c r="E30" i="12" s="1"/>
  <c r="D8" i="12"/>
  <c r="D30" i="12" s="1"/>
  <c r="C8" i="12"/>
  <c r="C30" i="12" s="1"/>
  <c r="B8" i="12"/>
  <c r="B30" i="12" s="1"/>
  <c r="G6" i="12"/>
  <c r="F6" i="12"/>
  <c r="E6" i="12"/>
  <c r="D6" i="12"/>
  <c r="C6" i="12"/>
  <c r="B6" i="12"/>
  <c r="G36" i="11"/>
  <c r="F36" i="11"/>
  <c r="E36" i="11"/>
  <c r="D36" i="11"/>
  <c r="C36" i="11"/>
  <c r="B36" i="11"/>
  <c r="G28" i="11"/>
  <c r="G31" i="11" s="1"/>
  <c r="F28" i="11"/>
  <c r="E28" i="11"/>
  <c r="D28" i="11"/>
  <c r="C28" i="11"/>
  <c r="B28" i="11"/>
  <c r="G21" i="11"/>
  <c r="F21" i="11"/>
  <c r="E21" i="11"/>
  <c r="D21" i="11"/>
  <c r="C21" i="11"/>
  <c r="B21" i="11"/>
  <c r="G7" i="11"/>
  <c r="F7" i="11"/>
  <c r="E7" i="11"/>
  <c r="D7" i="11"/>
  <c r="C7" i="11"/>
  <c r="B7" i="11"/>
  <c r="G5" i="11"/>
  <c r="F5" i="11"/>
  <c r="E5" i="11"/>
  <c r="D5" i="11"/>
  <c r="C5" i="11"/>
  <c r="B5" i="11"/>
  <c r="D31" i="10"/>
  <c r="G31" i="10" s="1"/>
  <c r="D30" i="10"/>
  <c r="G30" i="10" s="1"/>
  <c r="D29" i="10"/>
  <c r="F28" i="10"/>
  <c r="E28" i="10"/>
  <c r="C28" i="10"/>
  <c r="B28" i="10"/>
  <c r="D26" i="10"/>
  <c r="G26" i="10" s="1"/>
  <c r="D25" i="10"/>
  <c r="F24" i="10"/>
  <c r="E24" i="10"/>
  <c r="C24" i="10"/>
  <c r="C21" i="10" s="1"/>
  <c r="B24" i="10"/>
  <c r="D23" i="10"/>
  <c r="G23" i="10" s="1"/>
  <c r="D22" i="10"/>
  <c r="G22" i="10" s="1"/>
  <c r="D19" i="10"/>
  <c r="G19" i="10" s="1"/>
  <c r="D18" i="10"/>
  <c r="G18" i="10" s="1"/>
  <c r="D17" i="10"/>
  <c r="G17" i="10" s="1"/>
  <c r="F16" i="10"/>
  <c r="F9" i="10" s="1"/>
  <c r="E16" i="10"/>
  <c r="C16" i="10"/>
  <c r="B16" i="10"/>
  <c r="D15" i="10"/>
  <c r="G15" i="10" s="1"/>
  <c r="D14" i="10"/>
  <c r="G14" i="10" s="1"/>
  <c r="D13" i="10"/>
  <c r="G13" i="10" s="1"/>
  <c r="F12" i="10"/>
  <c r="E12" i="10"/>
  <c r="C12" i="10"/>
  <c r="B12" i="10"/>
  <c r="B9" i="10" s="1"/>
  <c r="D11" i="10"/>
  <c r="G11" i="10" s="1"/>
  <c r="D10" i="10"/>
  <c r="E9" i="10"/>
  <c r="C9" i="10"/>
  <c r="C33" i="10" s="1"/>
  <c r="D75" i="9"/>
  <c r="G75" i="9" s="1"/>
  <c r="D74" i="9"/>
  <c r="G74" i="9" s="1"/>
  <c r="D73" i="9"/>
  <c r="G73" i="9" s="1"/>
  <c r="D72" i="9"/>
  <c r="G72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D55" i="9"/>
  <c r="G55" i="9" s="1"/>
  <c r="D54" i="9"/>
  <c r="G54" i="9" s="1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F44" i="9"/>
  <c r="E44" i="9"/>
  <c r="E43" i="9" s="1"/>
  <c r="C44" i="9"/>
  <c r="B44" i="9"/>
  <c r="B43" i="9" s="1"/>
  <c r="D41" i="9"/>
  <c r="G41" i="9" s="1"/>
  <c r="D40" i="9"/>
  <c r="D39" i="9"/>
  <c r="G39" i="9" s="1"/>
  <c r="D38" i="9"/>
  <c r="G38" i="9" s="1"/>
  <c r="F37" i="9"/>
  <c r="E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D29" i="9"/>
  <c r="G29" i="9" s="1"/>
  <c r="D28" i="9"/>
  <c r="G28" i="9" s="1"/>
  <c r="F27" i="9"/>
  <c r="E27" i="9"/>
  <c r="C27" i="9"/>
  <c r="B27" i="9"/>
  <c r="D26" i="9"/>
  <c r="G26" i="9" s="1"/>
  <c r="D25" i="9"/>
  <c r="G25" i="9" s="1"/>
  <c r="G24" i="9"/>
  <c r="D24" i="9"/>
  <c r="D23" i="9"/>
  <c r="G23" i="9" s="1"/>
  <c r="D22" i="9"/>
  <c r="G22" i="9" s="1"/>
  <c r="G21" i="9"/>
  <c r="G19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D12" i="9"/>
  <c r="G12" i="9" s="1"/>
  <c r="D11" i="9"/>
  <c r="G11" i="9" s="1"/>
  <c r="F10" i="9"/>
  <c r="E10" i="9"/>
  <c r="C10" i="9"/>
  <c r="B10" i="9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D21" i="8"/>
  <c r="G21" i="8" s="1"/>
  <c r="D20" i="8"/>
  <c r="G20" i="8" s="1"/>
  <c r="F19" i="8"/>
  <c r="E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1" i="8"/>
  <c r="G11" i="8" s="1"/>
  <c r="D10" i="8"/>
  <c r="G10" i="8" s="1"/>
  <c r="F9" i="8"/>
  <c r="E9" i="8"/>
  <c r="C9" i="8"/>
  <c r="B9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F150" i="7"/>
  <c r="E150" i="7"/>
  <c r="C150" i="7"/>
  <c r="B150" i="7"/>
  <c r="D149" i="7"/>
  <c r="G149" i="7" s="1"/>
  <c r="D148" i="7"/>
  <c r="G148" i="7" s="1"/>
  <c r="D147" i="7"/>
  <c r="F146" i="7"/>
  <c r="E146" i="7"/>
  <c r="C146" i="7"/>
  <c r="B146" i="7"/>
  <c r="D145" i="7"/>
  <c r="G145" i="7" s="1"/>
  <c r="D144" i="7"/>
  <c r="G144" i="7" s="1"/>
  <c r="D143" i="7"/>
  <c r="G143" i="7" s="1"/>
  <c r="D142" i="7"/>
  <c r="G142" i="7" s="1"/>
  <c r="D141" i="7"/>
  <c r="G141" i="7" s="1"/>
  <c r="D140" i="7"/>
  <c r="D139" i="7"/>
  <c r="G139" i="7" s="1"/>
  <c r="D138" i="7"/>
  <c r="G138" i="7" s="1"/>
  <c r="F137" i="7"/>
  <c r="E137" i="7"/>
  <c r="C137" i="7"/>
  <c r="B137" i="7"/>
  <c r="D136" i="7"/>
  <c r="D135" i="7"/>
  <c r="G135" i="7" s="1"/>
  <c r="D134" i="7"/>
  <c r="G134" i="7" s="1"/>
  <c r="F133" i="7"/>
  <c r="E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D125" i="7"/>
  <c r="G125" i="7" s="1"/>
  <c r="D124" i="7"/>
  <c r="G124" i="7" s="1"/>
  <c r="F123" i="7"/>
  <c r="E123" i="7"/>
  <c r="C123" i="7"/>
  <c r="B123" i="7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D105" i="7"/>
  <c r="G105" i="7" s="1"/>
  <c r="D104" i="7"/>
  <c r="G104" i="7" s="1"/>
  <c r="F103" i="7"/>
  <c r="E103" i="7"/>
  <c r="C103" i="7"/>
  <c r="B103" i="7"/>
  <c r="D102" i="7"/>
  <c r="G102" i="7" s="1"/>
  <c r="D101" i="7"/>
  <c r="G101" i="7" s="1"/>
  <c r="D100" i="7"/>
  <c r="G100" i="7" s="1"/>
  <c r="D99" i="7"/>
  <c r="G99" i="7" s="1"/>
  <c r="D98" i="7"/>
  <c r="G98" i="7" s="1"/>
  <c r="D97" i="7"/>
  <c r="G97" i="7" s="1"/>
  <c r="D96" i="7"/>
  <c r="D95" i="7"/>
  <c r="G95" i="7" s="1"/>
  <c r="D94" i="7"/>
  <c r="G94" i="7" s="1"/>
  <c r="E93" i="7"/>
  <c r="C93" i="7"/>
  <c r="B93" i="7"/>
  <c r="D92" i="7"/>
  <c r="G92" i="7" s="1"/>
  <c r="D91" i="7"/>
  <c r="G91" i="7" s="1"/>
  <c r="D90" i="7"/>
  <c r="G90" i="7" s="1"/>
  <c r="D89" i="7"/>
  <c r="G89" i="7" s="1"/>
  <c r="D88" i="7"/>
  <c r="G88" i="7" s="1"/>
  <c r="D87" i="7"/>
  <c r="G87" i="7" s="1"/>
  <c r="D86" i="7"/>
  <c r="F85" i="7"/>
  <c r="E85" i="7"/>
  <c r="C85" i="7"/>
  <c r="B85" i="7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C75" i="7"/>
  <c r="B75" i="7"/>
  <c r="D74" i="7"/>
  <c r="G74" i="7" s="1"/>
  <c r="D73" i="7"/>
  <c r="G73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F62" i="7"/>
  <c r="E62" i="7"/>
  <c r="C62" i="7"/>
  <c r="B62" i="7"/>
  <c r="G61" i="7"/>
  <c r="G60" i="7"/>
  <c r="G59" i="7"/>
  <c r="F58" i="7"/>
  <c r="E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F48" i="7"/>
  <c r="E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F38" i="7"/>
  <c r="E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D30" i="7"/>
  <c r="G30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D20" i="7"/>
  <c r="G20" i="7" s="1"/>
  <c r="D19" i="7"/>
  <c r="G19" i="7" s="1"/>
  <c r="F18" i="7"/>
  <c r="E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B10" i="7"/>
  <c r="G78" i="6"/>
  <c r="D78" i="6"/>
  <c r="F75" i="6"/>
  <c r="E75" i="6"/>
  <c r="C75" i="6"/>
  <c r="B75" i="6"/>
  <c r="G74" i="6"/>
  <c r="D74" i="6"/>
  <c r="G73" i="6"/>
  <c r="G68" i="6"/>
  <c r="G67" i="6" s="1"/>
  <c r="D68" i="6"/>
  <c r="D67" i="6" s="1"/>
  <c r="F67" i="6"/>
  <c r="E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E45" i="6"/>
  <c r="E65" i="6" s="1"/>
  <c r="C45" i="6"/>
  <c r="B45" i="6"/>
  <c r="G39" i="6"/>
  <c r="D39" i="6"/>
  <c r="G38" i="6"/>
  <c r="D38" i="6"/>
  <c r="D37" i="6" s="1"/>
  <c r="F37" i="6"/>
  <c r="E37" i="6"/>
  <c r="C37" i="6"/>
  <c r="B37" i="6"/>
  <c r="G36" i="6"/>
  <c r="D36" i="6"/>
  <c r="F35" i="6"/>
  <c r="E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E28" i="6"/>
  <c r="C28" i="6"/>
  <c r="B28" i="6"/>
  <c r="G28" i="6" s="1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E16" i="6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64" i="5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C37" i="5"/>
  <c r="B37" i="5"/>
  <c r="D29" i="5"/>
  <c r="C29" i="5"/>
  <c r="B29" i="5"/>
  <c r="D17" i="5"/>
  <c r="C17" i="5"/>
  <c r="D13" i="5"/>
  <c r="C13" i="5"/>
  <c r="B13" i="5"/>
  <c r="D8" i="5"/>
  <c r="C8" i="5"/>
  <c r="B8" i="5"/>
  <c r="K18" i="4"/>
  <c r="K17" i="4"/>
  <c r="K16" i="4"/>
  <c r="K15" i="4"/>
  <c r="K14" i="4" s="1"/>
  <c r="J14" i="4"/>
  <c r="I14" i="4"/>
  <c r="H14" i="4"/>
  <c r="G14" i="4"/>
  <c r="E14" i="4"/>
  <c r="K12" i="4"/>
  <c r="K11" i="4"/>
  <c r="K10" i="4"/>
  <c r="K9" i="4"/>
  <c r="J8" i="4"/>
  <c r="I8" i="4"/>
  <c r="H8" i="4"/>
  <c r="G8" i="4"/>
  <c r="E8" i="4"/>
  <c r="K6" i="4"/>
  <c r="J6" i="4"/>
  <c r="I6" i="4"/>
  <c r="A2" i="4"/>
  <c r="F41" i="3"/>
  <c r="E41" i="3"/>
  <c r="D41" i="3"/>
  <c r="C41" i="3"/>
  <c r="B41" i="3"/>
  <c r="H27" i="3"/>
  <c r="G27" i="3"/>
  <c r="F27" i="3"/>
  <c r="E27" i="3"/>
  <c r="D27" i="3"/>
  <c r="C27" i="3"/>
  <c r="B27" i="3"/>
  <c r="H22" i="3"/>
  <c r="G22" i="3"/>
  <c r="F22" i="3"/>
  <c r="E22" i="3"/>
  <c r="D22" i="3"/>
  <c r="C22" i="3"/>
  <c r="B22" i="3"/>
  <c r="H13" i="3"/>
  <c r="G13" i="3"/>
  <c r="F13" i="3"/>
  <c r="E13" i="3"/>
  <c r="D13" i="3"/>
  <c r="D8" i="3" s="1"/>
  <c r="D20" i="3" s="1"/>
  <c r="C13" i="3"/>
  <c r="B13" i="3"/>
  <c r="H9" i="3"/>
  <c r="G9" i="3"/>
  <c r="G8" i="3" s="1"/>
  <c r="G20" i="3" s="1"/>
  <c r="F9" i="3"/>
  <c r="E9" i="3"/>
  <c r="D9" i="3"/>
  <c r="C9" i="3"/>
  <c r="C8" i="3" s="1"/>
  <c r="C20" i="3" s="1"/>
  <c r="B9" i="3"/>
  <c r="B8" i="3" s="1"/>
  <c r="B20" i="3" s="1"/>
  <c r="H8" i="3"/>
  <c r="H20" i="3" s="1"/>
  <c r="B6" i="3"/>
  <c r="A2" i="3"/>
  <c r="E68" i="2"/>
  <c r="E79" i="2" s="1"/>
  <c r="B60" i="2"/>
  <c r="B17" i="2"/>
  <c r="E9" i="2"/>
  <c r="E47" i="2" s="1"/>
  <c r="E59" i="2" s="1"/>
  <c r="C9" i="2"/>
  <c r="B9" i="2"/>
  <c r="D31" i="13" l="1"/>
  <c r="G29" i="14"/>
  <c r="E41" i="6"/>
  <c r="E70" i="6" s="1"/>
  <c r="D44" i="5"/>
  <c r="B84" i="7"/>
  <c r="D16" i="6"/>
  <c r="G58" i="7"/>
  <c r="D24" i="10"/>
  <c r="G35" i="6"/>
  <c r="G59" i="6"/>
  <c r="G16" i="6"/>
  <c r="G37" i="6"/>
  <c r="C65" i="6"/>
  <c r="C29" i="8"/>
  <c r="G16" i="10"/>
  <c r="G20" i="4"/>
  <c r="H20" i="4"/>
  <c r="E84" i="7"/>
  <c r="C84" i="7"/>
  <c r="C9" i="9"/>
  <c r="F29" i="8"/>
  <c r="B29" i="8"/>
  <c r="D10" i="7"/>
  <c r="I20" i="4"/>
  <c r="J20" i="4"/>
  <c r="C21" i="5"/>
  <c r="C23" i="5" s="1"/>
  <c r="C33" i="5" s="1"/>
  <c r="E81" i="2"/>
  <c r="G25" i="10"/>
  <c r="C31" i="11"/>
  <c r="D35" i="6"/>
  <c r="D45" i="6"/>
  <c r="B65" i="6"/>
  <c r="G75" i="6"/>
  <c r="D18" i="7"/>
  <c r="E29" i="8"/>
  <c r="G61" i="9"/>
  <c r="D31" i="11"/>
  <c r="B9" i="9"/>
  <c r="B77" i="9" s="1"/>
  <c r="E20" i="4"/>
  <c r="K8" i="4"/>
  <c r="K20" i="4" s="1"/>
  <c r="F65" i="6"/>
  <c r="G65" i="6" s="1"/>
  <c r="B9" i="7"/>
  <c r="B159" i="7" s="1"/>
  <c r="C9" i="7"/>
  <c r="D28" i="7"/>
  <c r="E9" i="9"/>
  <c r="E77" i="9" s="1"/>
  <c r="C43" i="9"/>
  <c r="B21" i="10"/>
  <c r="B33" i="10" s="1"/>
  <c r="E31" i="11"/>
  <c r="F8" i="3"/>
  <c r="D71" i="7"/>
  <c r="B47" i="2"/>
  <c r="B62" i="2" s="1"/>
  <c r="D21" i="5"/>
  <c r="D23" i="5" s="1"/>
  <c r="D25" i="5" s="1"/>
  <c r="D33" i="5" s="1"/>
  <c r="B44" i="5"/>
  <c r="B41" i="6"/>
  <c r="B70" i="6" s="1"/>
  <c r="E9" i="7"/>
  <c r="D16" i="10"/>
  <c r="F31" i="11"/>
  <c r="B31" i="11"/>
  <c r="E8" i="3"/>
  <c r="E20" i="3" s="1"/>
  <c r="B21" i="5"/>
  <c r="B23" i="5" s="1"/>
  <c r="B25" i="5" s="1"/>
  <c r="B33" i="5" s="1"/>
  <c r="C44" i="5"/>
  <c r="C41" i="6"/>
  <c r="C70" i="6" s="1"/>
  <c r="F41" i="6"/>
  <c r="D28" i="6"/>
  <c r="G54" i="6"/>
  <c r="D75" i="6"/>
  <c r="F9" i="7"/>
  <c r="D48" i="7"/>
  <c r="F9" i="9"/>
  <c r="F43" i="9"/>
  <c r="F77" i="9" s="1"/>
  <c r="F21" i="10"/>
  <c r="F33" i="10" s="1"/>
  <c r="E21" i="10"/>
  <c r="E33" i="10" s="1"/>
  <c r="D65" i="6"/>
  <c r="G38" i="7"/>
  <c r="G49" i="7"/>
  <c r="G48" i="7" s="1"/>
  <c r="F84" i="7"/>
  <c r="D19" i="8"/>
  <c r="G22" i="8"/>
  <c r="G19" i="8" s="1"/>
  <c r="G71" i="9"/>
  <c r="G12" i="10"/>
  <c r="D137" i="7"/>
  <c r="G140" i="7"/>
  <c r="G137" i="7" s="1"/>
  <c r="G45" i="6"/>
  <c r="G11" i="7"/>
  <c r="G10" i="7" s="1"/>
  <c r="G21" i="7"/>
  <c r="G18" i="7" s="1"/>
  <c r="G31" i="7"/>
  <c r="G28" i="7" s="1"/>
  <c r="D62" i="7"/>
  <c r="G63" i="7"/>
  <c r="G62" i="7" s="1"/>
  <c r="D75" i="7"/>
  <c r="D85" i="7"/>
  <c r="G86" i="7"/>
  <c r="G85" i="7" s="1"/>
  <c r="D9" i="8"/>
  <c r="G12" i="8"/>
  <c r="G9" i="8" s="1"/>
  <c r="G44" i="9"/>
  <c r="D10" i="9"/>
  <c r="G13" i="9"/>
  <c r="G10" i="9" s="1"/>
  <c r="D19" i="9"/>
  <c r="G20" i="9"/>
  <c r="D53" i="9"/>
  <c r="G56" i="9"/>
  <c r="G53" i="9" s="1"/>
  <c r="G71" i="7"/>
  <c r="D93" i="7"/>
  <c r="G96" i="7"/>
  <c r="G93" i="7" s="1"/>
  <c r="D113" i="7"/>
  <c r="D150" i="7"/>
  <c r="G151" i="7"/>
  <c r="G150" i="7" s="1"/>
  <c r="D37" i="9"/>
  <c r="G40" i="9"/>
  <c r="G37" i="9" s="1"/>
  <c r="D71" i="9"/>
  <c r="D12" i="10"/>
  <c r="D123" i="7"/>
  <c r="G126" i="7"/>
  <c r="G123" i="7" s="1"/>
  <c r="D146" i="7"/>
  <c r="G147" i="7"/>
  <c r="G146" i="7" s="1"/>
  <c r="D58" i="7"/>
  <c r="D103" i="7"/>
  <c r="G106" i="7"/>
  <c r="G103" i="7" s="1"/>
  <c r="D61" i="9"/>
  <c r="D9" i="10"/>
  <c r="D33" i="10" s="1"/>
  <c r="G10" i="10"/>
  <c r="G24" i="10"/>
  <c r="D28" i="10"/>
  <c r="D21" i="10" s="1"/>
  <c r="G29" i="10"/>
  <c r="G28" i="10" s="1"/>
  <c r="D38" i="7"/>
  <c r="G75" i="7"/>
  <c r="D133" i="7"/>
  <c r="G136" i="7"/>
  <c r="G133" i="7" s="1"/>
  <c r="D27" i="9"/>
  <c r="G30" i="9"/>
  <c r="G27" i="9" s="1"/>
  <c r="D44" i="9"/>
  <c r="G114" i="7"/>
  <c r="G113" i="7" s="1"/>
  <c r="C77" i="9" l="1"/>
  <c r="D29" i="8"/>
  <c r="G41" i="6"/>
  <c r="G70" i="6" s="1"/>
  <c r="G21" i="10"/>
  <c r="G9" i="10"/>
  <c r="G33" i="10" s="1"/>
  <c r="E159" i="7"/>
  <c r="D41" i="6"/>
  <c r="D70" i="6" s="1"/>
  <c r="G42" i="6"/>
  <c r="C159" i="7"/>
  <c r="F159" i="7"/>
  <c r="F70" i="6"/>
  <c r="D9" i="7"/>
  <c r="D9" i="9"/>
  <c r="G84" i="7"/>
  <c r="G9" i="9"/>
  <c r="G43" i="9"/>
  <c r="G9" i="7"/>
  <c r="D84" i="7"/>
  <c r="D43" i="9"/>
  <c r="G77" i="9" l="1"/>
  <c r="G29" i="8"/>
  <c r="D159" i="7"/>
  <c r="D77" i="9"/>
  <c r="G159" i="7"/>
  <c r="F20" i="3"/>
</calcChain>
</file>

<file path=xl/sharedStrings.xml><?xml version="1.0" encoding="utf-8"?>
<sst xmlns="http://schemas.openxmlformats.org/spreadsheetml/2006/main" count="1012" uniqueCount="751">
  <si>
    <t>Formato 1 Estado de Situación Financiera Detallado - LDF</t>
  </si>
  <si>
    <t xml:space="preserve"> COMITE MUNICIPAL DE AGUA POTABLE Y ALCANTARLLADO DE APASEO EL GRANDE, GTO.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</si>
  <si>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</si>
  <si>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</si>
  <si>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</si>
  <si>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</si>
  <si>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</si>
  <si>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</si>
  <si>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</si>
  <si>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</si>
  <si>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</si>
  <si>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</si>
  <si>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</si>
  <si>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</si>
  <si>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</si>
  <si>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</si>
  <si>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</si>
  <si>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</si>
  <si>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</si>
  <si>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</si>
  <si>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</si>
  <si>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</si>
  <si>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</si>
  <si>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</si>
  <si>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</si>
  <si>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</si>
  <si>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</si>
  <si>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</si>
  <si>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</si>
  <si>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</si>
  <si>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</si>
  <si>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</si>
  <si>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</si>
  <si>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</si>
  <si>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</si>
  <si>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</si>
  <si>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</si>
  <si>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</si>
  <si>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</si>
  <si>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</si>
  <si>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</si>
  <si>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</si>
  <si>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</si>
  <si>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</si>
  <si>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</si>
  <si>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</si>
  <si>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</si>
  <si>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</si>
  <si>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</si>
  <si>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</si>
  <si>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</si>
  <si>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</si>
  <si>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</si>
  <si>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</si>
  <si>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</si>
  <si>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</si>
  <si>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</si>
  <si>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</si>
  <si>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</si>
  <si>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</si>
  <si>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</si>
  <si>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</si>
  <si>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</si>
  <si>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</si>
  <si>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</si>
  <si>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</si>
  <si>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</si>
  <si>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</si>
  <si>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</si>
  <si>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</si>
  <si>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</si>
  <si>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</si>
  <si>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</si>
  <si>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</si>
  <si>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</si>
  <si>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</si>
  <si>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</si>
  <si>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</si>
  <si>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</si>
  <si>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</si>
  <si>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</si>
  <si>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</si>
  <si>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</si>
  <si>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</si>
  <si>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</si>
  <si>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</si>
  <si>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</si>
  <si>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</si>
  <si>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</si>
  <si>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</si>
  <si>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</si>
  <si>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</si>
  <si>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</si>
  <si>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</si>
  <si>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</si>
  <si>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</si>
  <si>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</si>
  <si>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</si>
  <si>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</si>
  <si>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</si>
  <si>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</si>
  <si>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</si>
  <si>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</si>
  <si>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</si>
  <si>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</si>
  <si>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</si>
  <si>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</si>
  <si>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</si>
  <si>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</si>
  <si>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</si>
  <si>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</si>
  <si>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</si>
  <si>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</si>
  <si>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</si>
  <si>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</si>
  <si>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</si>
  <si>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</si>
  <si>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</si>
  <si>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</si>
  <si>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</si>
  <si>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</si>
  <si>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</si>
  <si>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</si>
  <si>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</si>
  <si>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</si>
  <si>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</si>
  <si>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</si>
  <si>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</si>
  <si>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</si>
  <si>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</si>
  <si>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</si>
  <si>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</si>
  <si>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</si>
  <si>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</si>
  <si>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</si>
  <si>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</si>
  <si>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</si>
  <si>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</si>
  <si>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</si>
  <si>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</si>
  <si>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</si>
  <si>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</si>
  <si>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</si>
  <si>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</si>
  <si>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</si>
  <si>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</si>
  <si>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</si>
  <si>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</si>
  <si>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</si>
  <si>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</si>
  <si>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</si>
  <si>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</si>
  <si>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</si>
  <si>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</si>
  <si>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</si>
  <si>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</si>
  <si>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</si>
  <si>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</si>
  <si>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</si>
  <si>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</si>
  <si>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</si>
  <si>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</si>
  <si>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</si>
  <si>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</si>
  <si>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</si>
  <si>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</si>
  <si>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</si>
  <si>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</si>
  <si>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</si>
  <si>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</si>
  <si>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</si>
  <si>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</si>
  <si>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</si>
  <si>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</si>
  <si>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</si>
  <si>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</si>
  <si>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</si>
  <si>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</si>
  <si>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</si>
  <si>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</si>
  <si>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</si>
  <si>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</si>
  <si>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</si>
  <si>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</si>
  <si>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</si>
  <si>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</si>
  <si>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</si>
  <si>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</si>
  <si>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</si>
  <si>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</si>
  <si>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</si>
  <si>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</si>
  <si>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</si>
  <si>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</si>
  <si>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</si>
  <si>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</si>
  <si>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</si>
  <si>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</si>
  <si>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</si>
  <si>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</si>
  <si>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</si>
  <si>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</si>
  <si>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</si>
  <si>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</si>
  <si>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</si>
  <si>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</si>
  <si>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</si>
  <si>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</si>
  <si>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</si>
  <si>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</si>
  <si>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</si>
  <si>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</si>
  <si>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</si>
  <si>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</si>
  <si>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</si>
  <si>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</si>
  <si>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</si>
  <si>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</si>
  <si>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</si>
  <si>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</si>
  <si>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</si>
  <si>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</si>
  <si>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</si>
  <si>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</si>
  <si>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</si>
  <si>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</si>
  <si>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</si>
  <si>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</si>
  <si>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</si>
  <si>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</si>
  <si>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</si>
  <si>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</si>
  <si>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</si>
  <si>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</si>
  <si>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</si>
  <si>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</si>
  <si>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</si>
  <si>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</si>
  <si>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</si>
  <si>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</si>
  <si>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</si>
  <si>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</si>
  <si>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</si>
  <si>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</si>
  <si>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</si>
  <si>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</si>
  <si>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</si>
  <si>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</si>
  <si>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</si>
  <si>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</si>
  <si>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</si>
  <si>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</si>
  <si>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</si>
  <si>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</si>
  <si>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</si>
  <si>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</si>
  <si>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</si>
  <si>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</si>
  <si>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</si>
  <si>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</si>
  <si>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</si>
  <si>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</si>
  <si>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</si>
  <si>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</si>
  <si>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</si>
  <si>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</si>
  <si>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</si>
  <si>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</si>
  <si>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</si>
  <si>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</si>
  <si>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</si>
  <si>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</si>
  <si>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</si>
  <si>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</si>
  <si>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</si>
  <si>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</si>
  <si>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</si>
  <si>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</si>
  <si>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</si>
  <si>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</si>
  <si>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</si>
  <si>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</si>
  <si>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</si>
  <si>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</si>
  <si>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</si>
  <si>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</si>
  <si>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</si>
  <si>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</si>
  <si>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</si>
  <si>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</si>
  <si>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</si>
  <si>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</si>
  <si>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</si>
  <si>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</si>
  <si>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</si>
  <si>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</si>
  <si>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</si>
  <si>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</si>
  <si>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</si>
  <si>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</si>
  <si>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</si>
  <si>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</si>
  <si>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</si>
  <si>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</si>
  <si>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</si>
  <si>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</si>
  <si>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</si>
  <si>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</si>
  <si>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</si>
  <si>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</si>
  <si>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</si>
  <si>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</si>
  <si>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</si>
  <si>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</si>
  <si>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</si>
  <si>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</si>
  <si>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</si>
  <si>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</si>
  <si>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</si>
  <si>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</si>
  <si>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</si>
  <si>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</si>
  <si>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</si>
  <si>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</si>
  <si>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</si>
  <si>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</si>
  <si>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</si>
  <si>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</si>
  <si>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</si>
  <si>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</si>
  <si>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</si>
  <si>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</si>
  <si>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</si>
  <si>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</si>
  <si>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</si>
  <si>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</si>
  <si>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</si>
  <si>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</si>
  <si>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</si>
  <si>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</si>
  <si>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</si>
  <si>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</si>
  <si>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</si>
  <si>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</si>
  <si>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</si>
  <si>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</si>
  <si>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</si>
  <si>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</si>
  <si>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</si>
  <si>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</si>
  <si>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</si>
  <si>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</si>
  <si>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</si>
  <si>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</si>
  <si>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</si>
  <si>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</si>
  <si>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</si>
  <si>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</si>
  <si>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</si>
  <si>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</si>
  <si>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</si>
  <si>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</si>
  <si>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</si>
  <si>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</si>
  <si>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</si>
  <si>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</si>
  <si>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</si>
  <si>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</si>
  <si>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</si>
  <si>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</si>
  <si>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</si>
  <si>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</si>
  <si>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</si>
  <si>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</si>
  <si>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</si>
  <si>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</si>
  <si>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</si>
  <si>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</si>
  <si>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</si>
  <si>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</si>
  <si>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</si>
  <si>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</si>
  <si>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</si>
  <si>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</si>
  <si>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</si>
  <si>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</si>
  <si>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</si>
  <si>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</si>
  <si>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</si>
  <si>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</si>
  <si>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</si>
  <si>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</si>
  <si>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</si>
  <si>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</si>
  <si>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</si>
  <si>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</si>
  <si>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</si>
  <si>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</si>
  <si>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</si>
  <si>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</si>
  <si>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</si>
  <si>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</si>
  <si>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</si>
  <si>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</si>
  <si>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</si>
  <si>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</si>
  <si>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</si>
  <si>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</si>
  <si>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</si>
  <si>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</si>
  <si>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</si>
  <si>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</si>
  <si>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</si>
  <si>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</si>
  <si>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</si>
  <si>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</si>
  <si>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</si>
  <si>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</si>
  <si>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</si>
  <si>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</si>
  <si>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</si>
  <si>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</si>
  <si>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</si>
  <si>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</si>
  <si>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</si>
  <si>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</si>
  <si>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</si>
  <si>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</si>
  <si>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</si>
  <si>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</si>
  <si>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</si>
  <si>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</si>
  <si>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</si>
  <si>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</si>
  <si>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</si>
  <si>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</si>
  <si>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</si>
  <si>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</si>
  <si>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</si>
  <si>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</si>
  <si>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</si>
  <si>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</si>
  <si>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</si>
  <si>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</si>
  <si>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</si>
  <si>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</si>
  <si>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</si>
  <si>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</si>
  <si>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</si>
  <si>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</si>
  <si>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</si>
  <si>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</si>
  <si>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</si>
  <si>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</si>
  <si>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</si>
  <si>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</si>
  <si>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</si>
  <si>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</si>
  <si>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</si>
  <si>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</si>
  <si>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</si>
  <si>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</si>
  <si>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</si>
  <si>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</si>
  <si>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</si>
  <si>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</si>
  <si>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</si>
  <si>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</si>
  <si>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</si>
  <si>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</si>
  <si>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</si>
  <si>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</si>
  <si>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</si>
  <si>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</si>
  <si>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</si>
  <si>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</si>
  <si>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</si>
  <si>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</si>
  <si>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</si>
  <si>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</si>
  <si>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</si>
  <si>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</si>
  <si>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</si>
  <si>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</si>
  <si>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</si>
  <si>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</si>
  <si>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</si>
  <si>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</si>
  <si>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</si>
  <si>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</si>
  <si>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</si>
  <si>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</si>
  <si>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</si>
  <si>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</si>
  <si>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</si>
  <si>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</si>
  <si>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</si>
  <si>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</si>
  <si>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</si>
  <si>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</si>
  <si>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</si>
  <si>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</si>
  <si>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</si>
  <si>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</si>
  <si>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</si>
  <si>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</si>
  <si>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</si>
  <si>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</si>
  <si>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</si>
  <si>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</si>
  <si>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 xml:space="preserve">         CMAPA ADMON Y ABASTECIMIENTO DEL AGUA</t>
  </si>
  <si>
    <t xml:space="preserve">         COORDINACION ADMINISTRATIVA CONTABLE</t>
  </si>
  <si>
    <t xml:space="preserve">         COORDINACION DE COMERCIALIZACION</t>
  </si>
  <si>
    <t xml:space="preserve">         COORDINACIÓN TECNICA</t>
  </si>
  <si>
    <t xml:space="preserve">         COORDINACION JURIDICA</t>
  </si>
  <si>
    <t xml:space="preserve">         COORDINACION DE COMUNIDADES RURALES</t>
  </si>
  <si>
    <t xml:space="preserve">         COORDINACION PTAR</t>
  </si>
  <si>
    <t xml:space="preserve">         COORDINACION OPERATIVA</t>
  </si>
  <si>
    <t xml:space="preserve">         COORDINACION CONTROL INTERNO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</si>
  <si>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</si>
  <si>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</si>
  <si>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</si>
  <si>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</si>
  <si>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</si>
  <si>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</si>
  <si>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</si>
  <si>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</si>
  <si>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</si>
  <si>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</si>
  <si>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</si>
  <si>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</si>
  <si>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</si>
  <si>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</si>
  <si>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</si>
  <si>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</si>
  <si>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</si>
  <si>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</si>
  <si>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</si>
  <si>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</si>
  <si>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</si>
  <si>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</si>
  <si>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</si>
  <si>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</si>
  <si>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</si>
  <si>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</si>
  <si>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</si>
  <si>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</si>
  <si>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</si>
  <si>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</si>
  <si>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</si>
  <si>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</si>
  <si>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</si>
  <si>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</si>
  <si>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</si>
  <si>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</si>
  <si>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</si>
  <si>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</si>
  <si>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</si>
  <si>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</si>
  <si>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</si>
  <si>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</si>
  <si>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</si>
  <si>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</si>
  <si>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</si>
  <si>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</si>
  <si>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</si>
  <si>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</si>
  <si>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</si>
  <si>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</si>
  <si>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</si>
  <si>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</si>
  <si>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</si>
  <si>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</si>
  <si>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</si>
  <si>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</si>
  <si>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</si>
  <si>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</si>
  <si>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</si>
  <si>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</si>
  <si>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</si>
  <si>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</si>
  <si>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</si>
  <si>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</si>
  <si>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</si>
  <si>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</si>
  <si>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</si>
  <si>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</si>
  <si>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</si>
  <si>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</si>
  <si>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</si>
  <si>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</si>
  <si>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</si>
  <si>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</si>
  <si>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</si>
  <si>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</si>
  <si>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</si>
  <si>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</si>
  <si>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</si>
  <si>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</si>
  <si>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</si>
  <si>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</si>
  <si>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</si>
  <si>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</si>
  <si>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</si>
  <si>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</si>
  <si>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</si>
  <si>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</si>
  <si>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</si>
  <si>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</si>
  <si>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</si>
  <si>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</si>
  <si>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</si>
  <si>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</si>
  <si>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</si>
  <si>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</si>
  <si>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</si>
  <si>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</si>
  <si>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</si>
  <si>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</si>
  <si>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</si>
  <si>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</si>
  <si>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</si>
  <si>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</si>
  <si>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</si>
  <si>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</si>
  <si>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</si>
  <si>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</si>
  <si>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</si>
  <si>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</si>
  <si>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</si>
  <si>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</si>
  <si>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</si>
  <si>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</si>
  <si>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</si>
  <si>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</si>
  <si>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</si>
  <si>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</si>
  <si>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</si>
  <si>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</si>
  <si>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</si>
  <si>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</si>
  <si>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</si>
  <si>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</si>
  <si>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</si>
  <si>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</si>
  <si>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</si>
  <si>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</si>
  <si>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</si>
  <si>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</si>
  <si>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</si>
  <si>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</si>
  <si>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</si>
  <si>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</si>
  <si>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</si>
  <si>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</si>
  <si>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</si>
  <si>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</si>
  <si>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</si>
  <si>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</si>
  <si>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</si>
  <si>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</si>
  <si>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</si>
  <si>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</si>
  <si>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</si>
  <si>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</si>
  <si>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</si>
  <si>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</si>
  <si>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</si>
  <si>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</si>
  <si>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</si>
  <si>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</si>
  <si>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</si>
  <si>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</si>
  <si>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</si>
  <si>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</si>
  <si>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</si>
  <si>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</si>
  <si>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</si>
  <si>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</si>
  <si>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</si>
  <si>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</si>
  <si>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</si>
  <si>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</si>
  <si>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</si>
  <si>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</si>
  <si>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</si>
  <si>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</si>
  <si>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</si>
  <si>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</si>
  <si>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</si>
  <si>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</si>
  <si>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</si>
  <si>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</si>
  <si>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</si>
  <si>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</si>
  <si>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</si>
  <si>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</si>
  <si>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</si>
  <si>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</si>
  <si>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</si>
  <si>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</si>
  <si>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.</t>
    </r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</si>
  <si>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</si>
  <si>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</si>
  <si>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</si>
  <si>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</si>
  <si>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</si>
  <si>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</si>
  <si>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</si>
  <si>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</si>
  <si>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</si>
  <si>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</si>
  <si>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</si>
  <si>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</si>
  <si>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</si>
  <si>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</si>
  <si>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</si>
  <si>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</si>
  <si>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</si>
  <si>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</si>
  <si>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</si>
  <si>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</si>
  <si>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</si>
  <si>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</si>
  <si>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</si>
  <si>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</si>
  <si>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</si>
  <si>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</si>
  <si>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</si>
  <si>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</si>
  <si>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</si>
  <si>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</si>
  <si>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</si>
  <si>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</si>
  <si>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</si>
  <si>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</si>
  <si>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</si>
  <si>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</si>
  <si>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</si>
  <si>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</si>
  <si>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</si>
  <si>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</si>
  <si>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</si>
  <si>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</si>
  <si>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</si>
  <si>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</si>
  <si>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</si>
  <si>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</si>
  <si>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</si>
  <si>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2019 y al 31 de Diciembre de 2020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</si>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</sst>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name val="Arial"/>
      <family val="2"/>
    </font>
    <font>
      <sz val="8"/>
      <color theme="0"/>
      <name val="Intro Book"/>
      <family val="3"/>
    </font>
    <font>
      <sz val="8"/>
      <color theme="1"/>
      <name val="Arial"/>
      <family val="2"/>
    </font>
    <font>
      <vertAlign val="superscript"/>
      <sz val="1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7" fillId="0" borderId="0"/>
    <xf numFmtId="0" fontId="21" fillId="0" borderId="0"/>
  </cellStyleXfs>
  <cellXfs count="238">
    <xf numFmtId="0" fontId="0" fillId="0" borderId="0" xfId="0"/>
    <xf numFmtId="0" fontId="0" fillId="2" borderId="0" xfId="0" applyFill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3" borderId="12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2"/>
    </xf>
    <xf numFmtId="0" fontId="6" fillId="3" borderId="12" xfId="0" applyFont="1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6" fillId="3" borderId="6" xfId="0" applyNumberFormat="1" applyFont="1" applyFill="1" applyBorder="1" applyAlignment="1">
      <alignment horizontal="left" vertical="center" indent="3"/>
    </xf>
    <xf numFmtId="43" fontId="6" fillId="3" borderId="12" xfId="2" applyFont="1" applyFill="1" applyBorder="1" applyAlignment="1" applyProtection="1">
      <alignment horizontal="right" vertical="center"/>
      <protection locked="0"/>
    </xf>
    <xf numFmtId="0" fontId="6" fillId="3" borderId="12" xfId="0" applyFont="1" applyFill="1" applyBorder="1" applyAlignment="1">
      <alignment horizontal="left" vertical="center" indent="5"/>
    </xf>
    <xf numFmtId="49" fontId="6" fillId="3" borderId="6" xfId="0" applyNumberFormat="1" applyFont="1" applyFill="1" applyBorder="1" applyAlignment="1">
      <alignment horizontal="left" vertical="center" indent="5"/>
    </xf>
    <xf numFmtId="43" fontId="1" fillId="3" borderId="12" xfId="1" applyFont="1" applyFill="1" applyBorder="1" applyAlignment="1" applyProtection="1">
      <alignment horizontal="right" vertical="center"/>
      <protection locked="0"/>
    </xf>
    <xf numFmtId="43" fontId="6" fillId="3" borderId="12" xfId="2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3" fontId="5" fillId="3" borderId="12" xfId="2" applyFont="1" applyFill="1" applyBorder="1" applyAlignment="1" applyProtection="1">
      <alignment horizontal="right" vertical="center"/>
      <protection locked="0"/>
    </xf>
    <xf numFmtId="49" fontId="5" fillId="3" borderId="6" xfId="0" applyNumberFormat="1" applyFont="1" applyFill="1" applyBorder="1" applyAlignment="1">
      <alignment horizontal="left" vertical="center" indent="2"/>
    </xf>
    <xf numFmtId="49" fontId="6" fillId="3" borderId="6" xfId="0" applyNumberFormat="1" applyFont="1" applyFill="1" applyBorder="1" applyAlignment="1">
      <alignment horizontal="left" indent="3"/>
    </xf>
    <xf numFmtId="49" fontId="5" fillId="3" borderId="6" xfId="0" applyNumberFormat="1" applyFont="1" applyFill="1" applyBorder="1" applyAlignment="1">
      <alignment horizontal="left" indent="2"/>
    </xf>
    <xf numFmtId="3" fontId="6" fillId="3" borderId="12" xfId="0" applyNumberFormat="1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left" vertical="center" indent="2"/>
    </xf>
    <xf numFmtId="0" fontId="6" fillId="3" borderId="12" xfId="0" applyFont="1" applyFill="1" applyBorder="1"/>
    <xf numFmtId="0" fontId="6" fillId="3" borderId="13" xfId="0" applyFont="1" applyFill="1" applyBorder="1"/>
    <xf numFmtId="3" fontId="6" fillId="3" borderId="13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2" fillId="3" borderId="5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5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5" xfId="0" applyFill="1" applyBorder="1" applyAlignment="1">
      <alignment horizontal="left" vertical="center" indent="7"/>
    </xf>
    <xf numFmtId="0" fontId="0" fillId="3" borderId="12" xfId="0" applyFill="1" applyBorder="1" applyAlignment="1">
      <alignment vertical="center"/>
    </xf>
    <xf numFmtId="0" fontId="0" fillId="3" borderId="14" xfId="0" applyFill="1" applyBorder="1"/>
    <xf numFmtId="43" fontId="2" fillId="3" borderId="12" xfId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left" vertical="center" indent="5"/>
      <protection locked="0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3" borderId="13" xfId="0" applyFill="1" applyBorder="1"/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0" fontId="3" fillId="3" borderId="13" xfId="0" applyFont="1" applyFill="1" applyBorder="1"/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vertical="center" indent="2"/>
    </xf>
    <xf numFmtId="0" fontId="0" fillId="3" borderId="14" xfId="0" applyFill="1" applyBorder="1" applyAlignment="1">
      <alignment vertical="center"/>
    </xf>
    <xf numFmtId="0" fontId="0" fillId="3" borderId="12" xfId="0" applyFill="1" applyBorder="1" applyAlignment="1" applyProtection="1">
      <alignment horizontal="left" vertical="center" indent="4"/>
      <protection locked="0"/>
    </xf>
    <xf numFmtId="165" fontId="0" fillId="3" borderId="12" xfId="0" applyNumberForma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" fillId="3" borderId="12" xfId="0" applyFont="1" applyFill="1" applyBorder="1" applyAlignment="1">
      <alignment horizontal="left" vertical="center"/>
    </xf>
    <xf numFmtId="16" fontId="0" fillId="3" borderId="12" xfId="0" applyNumberForma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4" borderId="10" xfId="0" applyFont="1" applyFill="1" applyBorder="1" applyAlignment="1">
      <alignment horizontal="left" vertical="center" wrapText="1" indent="3"/>
    </xf>
    <xf numFmtId="0" fontId="2" fillId="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/>
    <xf numFmtId="43" fontId="13" fillId="4" borderId="14" xfId="1" applyFont="1" applyFill="1" applyBorder="1" applyAlignment="1"/>
    <xf numFmtId="43" fontId="14" fillId="4" borderId="14" xfId="1" applyFont="1" applyFill="1" applyBorder="1" applyAlignment="1"/>
    <xf numFmtId="43" fontId="2" fillId="0" borderId="12" xfId="1" applyFont="1" applyFill="1" applyBorder="1"/>
    <xf numFmtId="0" fontId="2" fillId="0" borderId="12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3" fontId="0" fillId="0" borderId="13" xfId="0" applyNumberFormat="1" applyBorder="1"/>
    <xf numFmtId="0" fontId="0" fillId="0" borderId="0" xfId="0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43" fontId="0" fillId="0" borderId="12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43" fontId="14" fillId="4" borderId="14" xfId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3" fontId="0" fillId="0" borderId="0" xfId="0" applyNumberFormat="1"/>
    <xf numFmtId="3" fontId="0" fillId="0" borderId="15" xfId="0" applyNumberFormat="1" applyBorder="1" applyProtection="1">
      <protection locked="0"/>
    </xf>
    <xf numFmtId="43" fontId="14" fillId="4" borderId="14" xfId="1" applyFont="1" applyFill="1" applyBorder="1"/>
    <xf numFmtId="43" fontId="0" fillId="0" borderId="13" xfId="1" applyFont="1" applyFill="1" applyBorder="1"/>
    <xf numFmtId="0" fontId="12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3"/>
    </xf>
    <xf numFmtId="0" fontId="15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0" fillId="4" borderId="14" xfId="1" applyFont="1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43" fontId="16" fillId="0" borderId="12" xfId="1" applyFont="1" applyFill="1" applyBorder="1" applyAlignment="1" applyProtection="1">
      <alignment vertical="center"/>
      <protection locked="0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18" fillId="0" borderId="5" xfId="5" applyFont="1" applyBorder="1" applyAlignment="1">
      <alignment horizontal="left" vertical="top"/>
    </xf>
    <xf numFmtId="43" fontId="0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indent="3"/>
    </xf>
    <xf numFmtId="43" fontId="0" fillId="0" borderId="13" xfId="1" applyFont="1" applyBorder="1"/>
    <xf numFmtId="3" fontId="2" fillId="4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 wrapText="1"/>
    </xf>
    <xf numFmtId="43" fontId="2" fillId="0" borderId="15" xfId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/>
      <protection locked="0"/>
    </xf>
    <xf numFmtId="4" fontId="19" fillId="0" borderId="12" xfId="0" applyNumberFormat="1" applyFont="1" applyBorder="1" applyProtection="1">
      <protection locked="0"/>
    </xf>
    <xf numFmtId="43" fontId="0" fillId="0" borderId="13" xfId="1" applyFont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20" fillId="0" borderId="5" xfId="5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2" fillId="4" borderId="11" xfId="0" applyFont="1" applyFill="1" applyBorder="1" applyAlignment="1">
      <alignment horizontal="center" vertical="center" wrapText="1"/>
    </xf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center" vertical="center" wrapText="1"/>
    </xf>
    <xf numFmtId="43" fontId="2" fillId="0" borderId="15" xfId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3" fontId="0" fillId="0" borderId="12" xfId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2" xfId="0" applyBorder="1"/>
    <xf numFmtId="4" fontId="21" fillId="0" borderId="12" xfId="4" applyNumberFormat="1" applyFont="1" applyBorder="1" applyAlignment="1" applyProtection="1">
      <alignment vertical="top"/>
      <protection locked="0"/>
    </xf>
    <xf numFmtId="43" fontId="21" fillId="0" borderId="12" xfId="1" applyFont="1" applyFill="1" applyBorder="1" applyAlignment="1" applyProtection="1">
      <alignment vertical="top"/>
      <protection locked="0"/>
    </xf>
    <xf numFmtId="43" fontId="0" fillId="0" borderId="12" xfId="1" applyFont="1" applyBorder="1" applyAlignment="1">
      <alignment vertical="center"/>
    </xf>
    <xf numFmtId="0" fontId="0" fillId="0" borderId="5" xfId="0" applyBorder="1" applyAlignment="1">
      <alignment horizontal="left" vertical="center" indent="6"/>
    </xf>
    <xf numFmtId="43" fontId="19" fillId="0" borderId="5" xfId="1" applyFont="1" applyFill="1" applyBorder="1" applyProtection="1">
      <protection locked="0"/>
    </xf>
    <xf numFmtId="4" fontId="19" fillId="0" borderId="5" xfId="6" applyNumberFormat="1" applyFont="1" applyBorder="1" applyProtection="1">
      <protection locked="0"/>
    </xf>
    <xf numFmtId="43" fontId="19" fillId="0" borderId="12" xfId="1" applyFont="1" applyFill="1" applyBorder="1" applyProtection="1">
      <protection locked="0"/>
    </xf>
    <xf numFmtId="43" fontId="19" fillId="0" borderId="6" xfId="1" applyFont="1" applyFill="1" applyBorder="1" applyProtection="1">
      <protection locked="0"/>
    </xf>
    <xf numFmtId="4" fontId="19" fillId="0" borderId="12" xfId="6" applyNumberFormat="1" applyFont="1" applyBorder="1" applyProtection="1">
      <protection locked="0"/>
    </xf>
    <xf numFmtId="43" fontId="0" fillId="0" borderId="5" xfId="1" applyFont="1" applyBorder="1" applyAlignment="1" applyProtection="1">
      <alignment vertical="center"/>
      <protection locked="0"/>
    </xf>
    <xf numFmtId="43" fontId="0" fillId="0" borderId="6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4" fontId="1" fillId="3" borderId="12" xfId="0" applyNumberFormat="1" applyFont="1" applyFill="1" applyBorder="1" applyAlignment="1">
      <alignment vertical="center"/>
    </xf>
    <xf numFmtId="43" fontId="2" fillId="3" borderId="12" xfId="1" applyFont="1" applyFill="1" applyBorder="1" applyAlignment="1" applyProtection="1">
      <alignment horizontal="right" vertical="center"/>
      <protection locked="0"/>
    </xf>
    <xf numFmtId="0" fontId="1" fillId="3" borderId="14" xfId="0" applyFont="1" applyFill="1" applyBorder="1"/>
    <xf numFmtId="0" fontId="1" fillId="3" borderId="12" xfId="0" applyFont="1" applyFill="1" applyBorder="1"/>
    <xf numFmtId="4" fontId="5" fillId="0" borderId="12" xfId="3" applyNumberFormat="1" applyFont="1" applyFill="1" applyBorder="1" applyAlignment="1" applyProtection="1">
      <alignment vertical="top" wrapText="1"/>
      <protection locked="0"/>
    </xf>
    <xf numFmtId="4" fontId="5" fillId="0" borderId="12" xfId="3" applyNumberFormat="1" applyFont="1" applyBorder="1" applyAlignment="1" applyProtection="1">
      <alignment vertical="top" wrapText="1"/>
      <protection locked="0"/>
    </xf>
    <xf numFmtId="164" fontId="0" fillId="0" borderId="0" xfId="0" applyNumberFormat="1"/>
    <xf numFmtId="0" fontId="0" fillId="0" borderId="0" xfId="0" applyBorder="1"/>
    <xf numFmtId="4" fontId="23" fillId="0" borderId="0" xfId="0" applyNumberFormat="1" applyFont="1" applyBorder="1" applyProtection="1">
      <protection locked="0"/>
    </xf>
    <xf numFmtId="43" fontId="0" fillId="0" borderId="0" xfId="0" applyNumberFormat="1" applyBorder="1"/>
    <xf numFmtId="43" fontId="0" fillId="0" borderId="0" xfId="1" applyFont="1" applyBorder="1"/>
    <xf numFmtId="0" fontId="2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indent="9"/>
    </xf>
    <xf numFmtId="0" fontId="4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3" fontId="0" fillId="0" borderId="6" xfId="1" applyFont="1" applyFill="1" applyBorder="1"/>
  </cellXfs>
  <cellStyles count="7">
    <cellStyle name="Millares" xfId="1" builtinId="3"/>
    <cellStyle name="Millares 2" xfId="2" xr:uid="{00000000-0005-0000-0000-000001000000}"/>
    <cellStyle name="Normal" xfId="0" builtinId="0"/>
    <cellStyle name="Normal 2" xfId="4" xr:uid="{00000000-0005-0000-0000-000003000000}"/>
    <cellStyle name="Normal 2 2" xfId="3" xr:uid="{00000000-0005-0000-0000-000004000000}"/>
    <cellStyle name="Normal 3" xfId="5" xr:uid="{00000000-0005-0000-0000-000005000000}"/>
    <cellStyle name="Normal 7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Bibiana\Desktop\0361_IDF_MAPG_AWA_19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COMITÉ MUNICIPAL DE AGUA POTABLE Y ALCANTARILLADO DE APASEO EL GRANDE,GTO, Gobierno del Estado de Guanajuato</v>
          </cell>
        </row>
        <row r="7">
          <cell r="C7" t="str">
            <v>COMITÉ MUNICIPAL DE AGUA POTABLE Y ALCANTARILLADO DE APASEO EL GRANDE,GTO, Gobierno del Estado de Guanajuato (a)</v>
          </cell>
        </row>
        <row r="11">
          <cell r="C11" t="str">
            <v>Municipio de Apaseo el Grande, Gobierno del Estado de Guanajuato</v>
          </cell>
        </row>
        <row r="12">
          <cell r="C12">
            <v>2020</v>
          </cell>
        </row>
        <row r="14">
          <cell r="C14" t="str">
            <v>Al 31 de diciembre de 2019 y al 30 de marzo de 2020 (b)</v>
          </cell>
        </row>
        <row r="16">
          <cell r="C16" t="str">
            <v>Del 1 de enero al 30 de marzo de 2020 (b)</v>
          </cell>
        </row>
        <row r="18">
          <cell r="D18" t="str">
            <v>Monto pagado de la inversión al 30 de marzo de 2020 (k)</v>
          </cell>
          <cell r="E18" t="str">
            <v>Monto pagado de la inversión actualizado al 30 de marzo de 2020 (l)</v>
          </cell>
          <cell r="F18" t="str">
            <v>Saldo pendiente por pagar de la inversión al 30 de marzo de 2020 (m = g – l)</v>
          </cell>
        </row>
        <row r="20">
          <cell r="F20" t="str">
            <v>Saldo al 31 de diciembre de 2019 (d)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  <row r="25">
          <cell r="D25" t="str">
            <v>2015 ¹ (c)</v>
          </cell>
          <cell r="E25" t="str">
            <v>2016 ¹ (c)</v>
          </cell>
          <cell r="F25" t="str">
            <v>2017 ¹ (c)</v>
          </cell>
          <cell r="G25" t="str">
            <v>2018 ¹ (c)</v>
          </cell>
          <cell r="H25" t="str">
            <v>2019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82"/>
  <sheetViews>
    <sheetView tabSelected="1" workbookViewId="0">
      <selection activeCell="A9" sqref="A9"/>
    </sheetView>
  </sheetViews>
  <sheetFormatPr baseColWidth="10" defaultRowHeight="15" x14ac:dyDescent="0.25"/>
  <cols>
    <col min="1" max="1" width="90.5703125" style="1" bestFit="1" customWidth="1"/>
    <col min="2" max="3" width="14.140625" style="1" bestFit="1" customWidth="1"/>
    <col min="4" max="4" width="92.140625" style="1" bestFit="1" customWidth="1"/>
    <col min="5" max="6" width="14.140625" style="1" bestFit="1" customWidth="1"/>
    <col min="7" max="16384" width="11.42578125" style="1"/>
  </cols>
  <sheetData>
    <row r="1" spans="1:6" ht="21" x14ac:dyDescent="0.25">
      <c r="A1" s="190" t="s">
        <v>0</v>
      </c>
      <c r="B1" s="190"/>
      <c r="C1" s="190"/>
      <c r="D1" s="190"/>
      <c r="E1" s="190"/>
      <c r="F1" s="190"/>
    </row>
    <row r="2" spans="1:6" x14ac:dyDescent="0.25">
      <c r="A2" s="191" t="s">
        <v>1</v>
      </c>
      <c r="B2" s="192"/>
      <c r="C2" s="192"/>
      <c r="D2" s="192"/>
      <c r="E2" s="192"/>
      <c r="F2" s="193"/>
    </row>
    <row r="3" spans="1:6" x14ac:dyDescent="0.25">
      <c r="A3" s="194" t="s">
        <v>2</v>
      </c>
      <c r="B3" s="195"/>
      <c r="C3" s="195"/>
      <c r="D3" s="195"/>
      <c r="E3" s="195"/>
      <c r="F3" s="196"/>
    </row>
    <row r="4" spans="1:6" x14ac:dyDescent="0.25">
      <c r="A4" s="194" t="s">
        <v>749</v>
      </c>
      <c r="B4" s="195"/>
      <c r="C4" s="195"/>
      <c r="D4" s="195"/>
      <c r="E4" s="195"/>
      <c r="F4" s="196"/>
    </row>
    <row r="5" spans="1:6" x14ac:dyDescent="0.25">
      <c r="A5" s="197" t="s">
        <v>3</v>
      </c>
      <c r="B5" s="198"/>
      <c r="C5" s="198"/>
      <c r="D5" s="198"/>
      <c r="E5" s="198"/>
      <c r="F5" s="199"/>
    </row>
    <row r="6" spans="1:6" x14ac:dyDescent="0.25">
      <c r="A6" s="2" t="s">
        <v>4</v>
      </c>
      <c r="B6" s="3">
        <v>2020</v>
      </c>
      <c r="C6" s="4">
        <v>2019</v>
      </c>
      <c r="D6" s="5" t="s">
        <v>5</v>
      </c>
      <c r="E6" s="3">
        <v>2020</v>
      </c>
      <c r="F6" s="4">
        <v>2019</v>
      </c>
    </row>
    <row r="7" spans="1:6" x14ac:dyDescent="0.25">
      <c r="A7" s="6" t="s">
        <v>6</v>
      </c>
      <c r="B7" s="7"/>
      <c r="C7" s="7"/>
      <c r="D7" s="8" t="s">
        <v>7</v>
      </c>
      <c r="E7" s="7"/>
      <c r="F7" s="7"/>
    </row>
    <row r="8" spans="1:6" x14ac:dyDescent="0.25">
      <c r="A8" s="6" t="s">
        <v>8</v>
      </c>
      <c r="B8" s="7"/>
      <c r="C8" s="7"/>
      <c r="D8" s="8" t="s">
        <v>9</v>
      </c>
      <c r="E8" s="7"/>
      <c r="F8" s="7"/>
    </row>
    <row r="9" spans="1:6" x14ac:dyDescent="0.25">
      <c r="A9" s="9" t="s">
        <v>10</v>
      </c>
      <c r="B9" s="10">
        <f>SUM(B10:B16)</f>
        <v>12373113.5</v>
      </c>
      <c r="C9" s="10">
        <f>SUM(C10:C16)</f>
        <v>16947542.109999999</v>
      </c>
      <c r="D9" s="11" t="s">
        <v>11</v>
      </c>
      <c r="E9" s="15">
        <f>SUM(E10:E18)</f>
        <v>3088455.54</v>
      </c>
      <c r="F9" s="12">
        <v>832282.56</v>
      </c>
    </row>
    <row r="10" spans="1:6" x14ac:dyDescent="0.25">
      <c r="A10" s="13" t="s">
        <v>12</v>
      </c>
      <c r="B10" s="173"/>
      <c r="C10" s="173"/>
      <c r="D10" s="14" t="s">
        <v>13</v>
      </c>
      <c r="E10" s="173">
        <v>258580.08</v>
      </c>
      <c r="F10" s="173"/>
    </row>
    <row r="11" spans="1:6" x14ac:dyDescent="0.25">
      <c r="A11" s="13" t="s">
        <v>14</v>
      </c>
      <c r="B11" s="173">
        <v>2648787.12</v>
      </c>
      <c r="C11" s="173">
        <v>1847542.11</v>
      </c>
      <c r="D11" s="14" t="s">
        <v>15</v>
      </c>
      <c r="E11" s="173">
        <v>175081.41</v>
      </c>
      <c r="F11" s="12">
        <v>-548.08000000000004</v>
      </c>
    </row>
    <row r="12" spans="1:6" x14ac:dyDescent="0.25">
      <c r="A12" s="13" t="s">
        <v>16</v>
      </c>
      <c r="B12" s="173"/>
      <c r="C12" s="173"/>
      <c r="D12" s="14" t="s">
        <v>17</v>
      </c>
      <c r="E12" s="173">
        <v>0.03</v>
      </c>
      <c r="F12" s="12"/>
    </row>
    <row r="13" spans="1:6" x14ac:dyDescent="0.25">
      <c r="A13" s="13" t="s">
        <v>18</v>
      </c>
      <c r="B13" s="173">
        <v>9724326.3800000008</v>
      </c>
      <c r="C13" s="173">
        <v>15100000</v>
      </c>
      <c r="D13" s="14" t="s">
        <v>19</v>
      </c>
      <c r="E13" s="173"/>
      <c r="F13" s="173"/>
    </row>
    <row r="14" spans="1:6" x14ac:dyDescent="0.25">
      <c r="A14" s="13" t="s">
        <v>20</v>
      </c>
      <c r="B14" s="173"/>
      <c r="C14" s="173"/>
      <c r="D14" s="14" t="s">
        <v>21</v>
      </c>
      <c r="E14" s="173"/>
      <c r="F14" s="173"/>
    </row>
    <row r="15" spans="1:6" x14ac:dyDescent="0.25">
      <c r="A15" s="13" t="s">
        <v>22</v>
      </c>
      <c r="B15" s="173"/>
      <c r="C15" s="173"/>
      <c r="D15" s="14" t="s">
        <v>23</v>
      </c>
      <c r="E15" s="173"/>
      <c r="F15" s="173"/>
    </row>
    <row r="16" spans="1:6" x14ac:dyDescent="0.25">
      <c r="A16" s="13" t="s">
        <v>24</v>
      </c>
      <c r="B16" s="173"/>
      <c r="C16" s="173"/>
      <c r="D16" s="14" t="s">
        <v>25</v>
      </c>
      <c r="E16" s="173">
        <v>468762.81</v>
      </c>
      <c r="F16" s="12">
        <v>671019.71</v>
      </c>
    </row>
    <row r="17" spans="1:6" x14ac:dyDescent="0.25">
      <c r="A17" s="9" t="s">
        <v>26</v>
      </c>
      <c r="B17" s="15">
        <f>SUM(B18:B24)</f>
        <v>10126839.92</v>
      </c>
      <c r="C17" s="12">
        <v>11640587.17</v>
      </c>
      <c r="D17" s="14" t="s">
        <v>27</v>
      </c>
      <c r="E17" s="173"/>
      <c r="F17" s="173"/>
    </row>
    <row r="18" spans="1:6" x14ac:dyDescent="0.25">
      <c r="A18" s="13" t="s">
        <v>28</v>
      </c>
      <c r="B18" s="173"/>
      <c r="C18" s="173"/>
      <c r="D18" s="14" t="s">
        <v>29</v>
      </c>
      <c r="E18" s="173">
        <v>2186031.21</v>
      </c>
      <c r="F18" s="12">
        <v>161810.93</v>
      </c>
    </row>
    <row r="19" spans="1:6" x14ac:dyDescent="0.25">
      <c r="A19" s="13" t="s">
        <v>30</v>
      </c>
      <c r="B19" s="15">
        <v>833.46</v>
      </c>
      <c r="C19" s="12">
        <v>2659.46</v>
      </c>
      <c r="D19" s="11" t="s">
        <v>31</v>
      </c>
      <c r="E19" s="173">
        <v>0</v>
      </c>
      <c r="F19" s="173">
        <v>0</v>
      </c>
    </row>
    <row r="20" spans="1:6" x14ac:dyDescent="0.25">
      <c r="A20" s="13" t="s">
        <v>32</v>
      </c>
      <c r="B20" s="173">
        <v>18442.099999999999</v>
      </c>
      <c r="C20" s="12">
        <v>2130.94</v>
      </c>
      <c r="D20" s="14" t="s">
        <v>33</v>
      </c>
      <c r="E20" s="173"/>
      <c r="F20" s="173"/>
    </row>
    <row r="21" spans="1:6" x14ac:dyDescent="0.25">
      <c r="A21" s="13" t="s">
        <v>34</v>
      </c>
      <c r="B21" s="173"/>
      <c r="C21" s="173"/>
      <c r="D21" s="14" t="s">
        <v>35</v>
      </c>
      <c r="E21" s="173"/>
      <c r="F21" s="173"/>
    </row>
    <row r="22" spans="1:6" x14ac:dyDescent="0.25">
      <c r="A22" s="13" t="s">
        <v>36</v>
      </c>
      <c r="B22" s="173">
        <v>17696.8</v>
      </c>
      <c r="C22" s="12">
        <v>25499.599999999999</v>
      </c>
      <c r="D22" s="14" t="s">
        <v>37</v>
      </c>
      <c r="E22" s="173"/>
      <c r="F22" s="173"/>
    </row>
    <row r="23" spans="1:6" x14ac:dyDescent="0.25">
      <c r="A23" s="13" t="s">
        <v>38</v>
      </c>
      <c r="B23" s="173"/>
      <c r="C23" s="173"/>
      <c r="D23" s="11" t="s">
        <v>39</v>
      </c>
      <c r="E23" s="173">
        <v>0</v>
      </c>
      <c r="F23" s="173">
        <v>0</v>
      </c>
    </row>
    <row r="24" spans="1:6" x14ac:dyDescent="0.25">
      <c r="A24" s="13" t="s">
        <v>40</v>
      </c>
      <c r="B24" s="173">
        <v>10089867.560000001</v>
      </c>
      <c r="C24" s="12">
        <v>11610297.17</v>
      </c>
      <c r="D24" s="14" t="s">
        <v>41</v>
      </c>
      <c r="E24" s="173"/>
      <c r="F24" s="173"/>
    </row>
    <row r="25" spans="1:6" x14ac:dyDescent="0.25">
      <c r="A25" s="9" t="s">
        <v>42</v>
      </c>
      <c r="B25" s="12">
        <f>+SUM(B26:B30)</f>
        <v>1655366.35</v>
      </c>
      <c r="C25" s="173">
        <v>0</v>
      </c>
      <c r="D25" s="14" t="s">
        <v>43</v>
      </c>
      <c r="E25" s="173"/>
      <c r="F25" s="173"/>
    </row>
    <row r="26" spans="1:6" x14ac:dyDescent="0.25">
      <c r="A26" s="13" t="s">
        <v>44</v>
      </c>
      <c r="B26" s="173">
        <v>425077.97</v>
      </c>
      <c r="C26" s="173"/>
      <c r="D26" s="11" t="s">
        <v>45</v>
      </c>
      <c r="E26" s="173">
        <v>0</v>
      </c>
      <c r="F26" s="173">
        <v>0</v>
      </c>
    </row>
    <row r="27" spans="1:6" x14ac:dyDescent="0.25">
      <c r="A27" s="13" t="s">
        <v>46</v>
      </c>
      <c r="B27" s="173">
        <v>231000</v>
      </c>
      <c r="C27" s="173"/>
      <c r="D27" s="11" t="s">
        <v>47</v>
      </c>
      <c r="E27" s="173">
        <v>0</v>
      </c>
      <c r="F27" s="173">
        <v>0</v>
      </c>
    </row>
    <row r="28" spans="1:6" x14ac:dyDescent="0.25">
      <c r="A28" s="13" t="s">
        <v>48</v>
      </c>
      <c r="B28" s="173"/>
      <c r="C28" s="173"/>
      <c r="D28" s="14" t="s">
        <v>49</v>
      </c>
      <c r="E28" s="173"/>
      <c r="F28" s="173"/>
    </row>
    <row r="29" spans="1:6" x14ac:dyDescent="0.25">
      <c r="A29" s="13" t="s">
        <v>50</v>
      </c>
      <c r="B29" s="173">
        <v>999288.38</v>
      </c>
      <c r="C29" s="173"/>
      <c r="D29" s="14" t="s">
        <v>51</v>
      </c>
      <c r="E29" s="173"/>
      <c r="F29" s="173"/>
    </row>
    <row r="30" spans="1:6" x14ac:dyDescent="0.25">
      <c r="A30" s="13" t="s">
        <v>52</v>
      </c>
      <c r="B30" s="173"/>
      <c r="C30" s="173"/>
      <c r="D30" s="14" t="s">
        <v>53</v>
      </c>
      <c r="E30" s="173"/>
      <c r="F30" s="173"/>
    </row>
    <row r="31" spans="1:6" x14ac:dyDescent="0.25">
      <c r="A31" s="9" t="s">
        <v>54</v>
      </c>
      <c r="B31" s="173">
        <v>0</v>
      </c>
      <c r="C31" s="173">
        <v>0</v>
      </c>
      <c r="D31" s="11" t="s">
        <v>55</v>
      </c>
      <c r="E31" s="173">
        <v>0</v>
      </c>
      <c r="F31" s="173">
        <v>0</v>
      </c>
    </row>
    <row r="32" spans="1:6" x14ac:dyDescent="0.25">
      <c r="A32" s="13" t="s">
        <v>56</v>
      </c>
      <c r="B32" s="173"/>
      <c r="C32" s="173"/>
      <c r="D32" s="14" t="s">
        <v>57</v>
      </c>
      <c r="E32" s="173"/>
      <c r="F32" s="173"/>
    </row>
    <row r="33" spans="1:6" x14ac:dyDescent="0.25">
      <c r="A33" s="13" t="s">
        <v>58</v>
      </c>
      <c r="B33" s="173"/>
      <c r="C33" s="173"/>
      <c r="D33" s="14" t="s">
        <v>59</v>
      </c>
      <c r="E33" s="173"/>
      <c r="F33" s="173"/>
    </row>
    <row r="34" spans="1:6" x14ac:dyDescent="0.25">
      <c r="A34" s="13" t="s">
        <v>60</v>
      </c>
      <c r="B34" s="173"/>
      <c r="C34" s="173"/>
      <c r="D34" s="14" t="s">
        <v>61</v>
      </c>
      <c r="E34" s="173"/>
      <c r="F34" s="173"/>
    </row>
    <row r="35" spans="1:6" x14ac:dyDescent="0.25">
      <c r="A35" s="13" t="s">
        <v>62</v>
      </c>
      <c r="B35" s="173"/>
      <c r="C35" s="173"/>
      <c r="D35" s="14" t="s">
        <v>63</v>
      </c>
      <c r="E35" s="173"/>
      <c r="F35" s="173"/>
    </row>
    <row r="36" spans="1:6" x14ac:dyDescent="0.25">
      <c r="A36" s="13" t="s">
        <v>64</v>
      </c>
      <c r="B36" s="173"/>
      <c r="C36" s="173"/>
      <c r="D36" s="14" t="s">
        <v>65</v>
      </c>
      <c r="E36" s="173"/>
      <c r="F36" s="173"/>
    </row>
    <row r="37" spans="1:6" x14ac:dyDescent="0.25">
      <c r="A37" s="9" t="s">
        <v>66</v>
      </c>
      <c r="B37" s="173">
        <v>355601.2</v>
      </c>
      <c r="C37" s="12">
        <v>192826.37</v>
      </c>
      <c r="D37" s="14" t="s">
        <v>67</v>
      </c>
      <c r="E37" s="173"/>
      <c r="F37" s="173"/>
    </row>
    <row r="38" spans="1:6" x14ac:dyDescent="0.25">
      <c r="A38" s="9" t="s">
        <v>68</v>
      </c>
      <c r="B38" s="173">
        <v>0</v>
      </c>
      <c r="C38" s="173">
        <v>0</v>
      </c>
      <c r="D38" s="11" t="s">
        <v>69</v>
      </c>
      <c r="E38" s="173">
        <v>0</v>
      </c>
      <c r="F38" s="173">
        <v>0</v>
      </c>
    </row>
    <row r="39" spans="1:6" x14ac:dyDescent="0.25">
      <c r="A39" s="13" t="s">
        <v>70</v>
      </c>
      <c r="B39" s="173"/>
      <c r="C39" s="173"/>
      <c r="D39" s="14" t="s">
        <v>71</v>
      </c>
      <c r="E39" s="173"/>
      <c r="F39" s="173"/>
    </row>
    <row r="40" spans="1:6" x14ac:dyDescent="0.25">
      <c r="A40" s="13" t="s">
        <v>72</v>
      </c>
      <c r="B40" s="173"/>
      <c r="C40" s="173"/>
      <c r="D40" s="14" t="s">
        <v>73</v>
      </c>
      <c r="E40" s="173"/>
      <c r="F40" s="173"/>
    </row>
    <row r="41" spans="1:6" x14ac:dyDescent="0.25">
      <c r="A41" s="9" t="s">
        <v>74</v>
      </c>
      <c r="B41" s="173">
        <v>0</v>
      </c>
      <c r="C41" s="173">
        <v>0</v>
      </c>
      <c r="D41" s="14" t="s">
        <v>75</v>
      </c>
      <c r="E41" s="173"/>
      <c r="F41" s="173"/>
    </row>
    <row r="42" spans="1:6" x14ac:dyDescent="0.25">
      <c r="A42" s="13" t="s">
        <v>76</v>
      </c>
      <c r="B42" s="173"/>
      <c r="C42" s="173"/>
      <c r="D42" s="11" t="s">
        <v>77</v>
      </c>
      <c r="E42" s="173">
        <v>0</v>
      </c>
      <c r="F42" s="173">
        <v>0</v>
      </c>
    </row>
    <row r="43" spans="1:6" x14ac:dyDescent="0.25">
      <c r="A43" s="13" t="s">
        <v>78</v>
      </c>
      <c r="B43" s="173"/>
      <c r="C43" s="173"/>
      <c r="D43" s="14" t="s">
        <v>79</v>
      </c>
      <c r="E43" s="173"/>
      <c r="F43" s="173"/>
    </row>
    <row r="44" spans="1:6" x14ac:dyDescent="0.25">
      <c r="A44" s="13" t="s">
        <v>80</v>
      </c>
      <c r="B44" s="173"/>
      <c r="C44" s="173"/>
      <c r="D44" s="14" t="s">
        <v>81</v>
      </c>
      <c r="E44" s="173"/>
      <c r="F44" s="173"/>
    </row>
    <row r="45" spans="1:6" x14ac:dyDescent="0.25">
      <c r="A45" s="13" t="s">
        <v>82</v>
      </c>
      <c r="B45" s="173"/>
      <c r="C45" s="173"/>
      <c r="D45" s="14" t="s">
        <v>83</v>
      </c>
      <c r="E45" s="173"/>
      <c r="F45" s="173"/>
    </row>
    <row r="46" spans="1:6" x14ac:dyDescent="0.25">
      <c r="A46" s="7"/>
      <c r="B46" s="16"/>
      <c r="C46" s="16"/>
      <c r="D46" s="17"/>
      <c r="E46" s="16"/>
      <c r="F46" s="16"/>
    </row>
    <row r="47" spans="1:6" x14ac:dyDescent="0.25">
      <c r="A47" s="18" t="s">
        <v>84</v>
      </c>
      <c r="B47" s="174">
        <f>B9+B17+B25+B31+B37+B38+B41</f>
        <v>24510920.970000003</v>
      </c>
      <c r="C47" s="20">
        <v>28780955.650000002</v>
      </c>
      <c r="D47" s="21" t="s">
        <v>85</v>
      </c>
      <c r="E47" s="174">
        <f>E9+E19+E23+E26+E27+E31+E38+E42</f>
        <v>3088455.54</v>
      </c>
      <c r="F47" s="20">
        <v>832282.56</v>
      </c>
    </row>
    <row r="48" spans="1:6" x14ac:dyDescent="0.25">
      <c r="A48" s="7"/>
      <c r="B48" s="16"/>
      <c r="C48" s="16"/>
      <c r="D48" s="17"/>
      <c r="E48" s="16"/>
      <c r="F48" s="16"/>
    </row>
    <row r="49" spans="1:6" x14ac:dyDescent="0.25">
      <c r="A49" s="6" t="s">
        <v>86</v>
      </c>
      <c r="B49" s="16"/>
      <c r="C49" s="16"/>
      <c r="D49" s="21" t="s">
        <v>87</v>
      </c>
      <c r="E49" s="16"/>
      <c r="F49" s="16"/>
    </row>
    <row r="50" spans="1:6" x14ac:dyDescent="0.25">
      <c r="A50" s="9" t="s">
        <v>88</v>
      </c>
      <c r="B50" s="173"/>
      <c r="C50" s="173"/>
      <c r="D50" s="11" t="s">
        <v>89</v>
      </c>
      <c r="E50" s="173"/>
      <c r="F50" s="173"/>
    </row>
    <row r="51" spans="1:6" x14ac:dyDescent="0.25">
      <c r="A51" s="9" t="s">
        <v>90</v>
      </c>
      <c r="B51" s="173"/>
      <c r="C51" s="173"/>
      <c r="D51" s="11" t="s">
        <v>91</v>
      </c>
      <c r="E51" s="173"/>
      <c r="F51" s="173"/>
    </row>
    <row r="52" spans="1:6" x14ac:dyDescent="0.25">
      <c r="A52" s="9" t="s">
        <v>92</v>
      </c>
      <c r="B52" s="173">
        <v>34326532.130000003</v>
      </c>
      <c r="C52" s="12">
        <v>21562247.399999999</v>
      </c>
      <c r="D52" s="11" t="s">
        <v>93</v>
      </c>
      <c r="E52" s="173"/>
      <c r="F52" s="173"/>
    </row>
    <row r="53" spans="1:6" x14ac:dyDescent="0.25">
      <c r="A53" s="9" t="s">
        <v>94</v>
      </c>
      <c r="B53" s="173">
        <v>33063846.84</v>
      </c>
      <c r="C53" s="12">
        <v>31744215</v>
      </c>
      <c r="D53" s="11" t="s">
        <v>95</v>
      </c>
      <c r="E53" s="173"/>
      <c r="F53" s="173"/>
    </row>
    <row r="54" spans="1:6" x14ac:dyDescent="0.25">
      <c r="A54" s="9" t="s">
        <v>96</v>
      </c>
      <c r="B54" s="173">
        <v>866662.43</v>
      </c>
      <c r="C54" s="12">
        <v>856490.03</v>
      </c>
      <c r="D54" s="11" t="s">
        <v>97</v>
      </c>
      <c r="E54" s="173"/>
      <c r="F54" s="173"/>
    </row>
    <row r="55" spans="1:6" x14ac:dyDescent="0.25">
      <c r="A55" s="9" t="s">
        <v>98</v>
      </c>
      <c r="B55" s="173">
        <v>-16144992.789999999</v>
      </c>
      <c r="C55" s="12">
        <v>-12222226.609999999</v>
      </c>
      <c r="D55" s="22" t="s">
        <v>99</v>
      </c>
      <c r="E55" s="173"/>
      <c r="F55" s="173"/>
    </row>
    <row r="56" spans="1:6" x14ac:dyDescent="0.25">
      <c r="A56" s="9" t="s">
        <v>100</v>
      </c>
      <c r="B56" s="173">
        <v>2595326.14</v>
      </c>
      <c r="C56" s="12">
        <v>2350602</v>
      </c>
      <c r="D56" s="17"/>
      <c r="E56" s="16"/>
      <c r="F56" s="16"/>
    </row>
    <row r="57" spans="1:6" x14ac:dyDescent="0.25">
      <c r="A57" s="9" t="s">
        <v>101</v>
      </c>
      <c r="B57" s="173"/>
      <c r="C57" s="173"/>
      <c r="D57" s="21" t="s">
        <v>102</v>
      </c>
      <c r="E57" s="173">
        <v>0</v>
      </c>
      <c r="F57" s="173">
        <v>0</v>
      </c>
    </row>
    <row r="58" spans="1:6" x14ac:dyDescent="0.25">
      <c r="A58" s="9" t="s">
        <v>103</v>
      </c>
      <c r="B58" s="173"/>
      <c r="C58" s="173"/>
      <c r="D58" s="17"/>
      <c r="E58" s="16"/>
      <c r="F58" s="16"/>
    </row>
    <row r="59" spans="1:6" x14ac:dyDescent="0.25">
      <c r="A59" s="7"/>
      <c r="B59" s="16"/>
      <c r="C59" s="16"/>
      <c r="D59" s="21" t="s">
        <v>104</v>
      </c>
      <c r="E59" s="174">
        <f>E47+E57</f>
        <v>3088455.54</v>
      </c>
      <c r="F59" s="20">
        <v>832282.56</v>
      </c>
    </row>
    <row r="60" spans="1:6" x14ac:dyDescent="0.25">
      <c r="A60" s="18" t="s">
        <v>105</v>
      </c>
      <c r="B60" s="19">
        <f>SUM(B50:B58)</f>
        <v>54707374.750000007</v>
      </c>
      <c r="C60" s="20">
        <v>44291327.82</v>
      </c>
      <c r="D60" s="17"/>
      <c r="E60" s="16"/>
      <c r="F60" s="16"/>
    </row>
    <row r="61" spans="1:6" x14ac:dyDescent="0.25">
      <c r="A61" s="7"/>
      <c r="B61" s="16"/>
      <c r="C61" s="16"/>
      <c r="D61" s="23" t="s">
        <v>106</v>
      </c>
      <c r="E61" s="16"/>
      <c r="F61" s="16"/>
    </row>
    <row r="62" spans="1:6" x14ac:dyDescent="0.25">
      <c r="A62" s="18" t="s">
        <v>107</v>
      </c>
      <c r="B62" s="19">
        <f>SUM(B47+B60)</f>
        <v>79218295.720000014</v>
      </c>
      <c r="C62" s="20">
        <v>73072283.469999999</v>
      </c>
      <c r="D62" s="17"/>
      <c r="E62" s="16"/>
      <c r="F62" s="16"/>
    </row>
    <row r="63" spans="1:6" x14ac:dyDescent="0.25">
      <c r="A63" s="7"/>
      <c r="B63" s="24"/>
      <c r="C63" s="24"/>
      <c r="D63" s="25" t="s">
        <v>108</v>
      </c>
      <c r="E63" s="12">
        <v>942681.52</v>
      </c>
      <c r="F63" s="12">
        <v>942681.52</v>
      </c>
    </row>
    <row r="64" spans="1:6" x14ac:dyDescent="0.25">
      <c r="A64" s="7"/>
      <c r="B64" s="24"/>
      <c r="C64" s="24"/>
      <c r="D64" s="11" t="s">
        <v>109</v>
      </c>
      <c r="E64" s="12">
        <v>842981.52</v>
      </c>
      <c r="F64" s="12">
        <v>842981.52</v>
      </c>
    </row>
    <row r="65" spans="1:6" x14ac:dyDescent="0.25">
      <c r="A65" s="7"/>
      <c r="B65" s="24"/>
      <c r="C65" s="24"/>
      <c r="D65" s="22" t="s">
        <v>110</v>
      </c>
      <c r="E65" s="12">
        <v>99700</v>
      </c>
      <c r="F65" s="12">
        <v>99700</v>
      </c>
    </row>
    <row r="66" spans="1:6" x14ac:dyDescent="0.25">
      <c r="A66" s="7"/>
      <c r="B66" s="24"/>
      <c r="C66" s="24"/>
      <c r="D66" s="11" t="s">
        <v>111</v>
      </c>
      <c r="E66" s="173"/>
      <c r="F66" s="173"/>
    </row>
    <row r="67" spans="1:6" x14ac:dyDescent="0.25">
      <c r="A67" s="7"/>
      <c r="B67" s="24"/>
      <c r="C67" s="24"/>
      <c r="D67" s="17"/>
      <c r="E67" s="16"/>
      <c r="F67" s="16"/>
    </row>
    <row r="68" spans="1:6" x14ac:dyDescent="0.25">
      <c r="A68" s="7"/>
      <c r="B68" s="24"/>
      <c r="C68" s="24"/>
      <c r="D68" s="25" t="s">
        <v>112</v>
      </c>
      <c r="E68" s="15">
        <f>SUM(E69:E73)</f>
        <v>75187158.659999996</v>
      </c>
      <c r="F68" s="12">
        <v>71297319.390000001</v>
      </c>
    </row>
    <row r="69" spans="1:6" x14ac:dyDescent="0.25">
      <c r="A69" s="26"/>
      <c r="B69" s="24"/>
      <c r="C69" s="24"/>
      <c r="D69" s="11" t="s">
        <v>113</v>
      </c>
      <c r="E69" s="173">
        <v>1588814.63</v>
      </c>
      <c r="F69" s="12">
        <v>741371.45</v>
      </c>
    </row>
    <row r="70" spans="1:6" x14ac:dyDescent="0.25">
      <c r="A70" s="26"/>
      <c r="B70" s="24"/>
      <c r="C70" s="24"/>
      <c r="D70" s="11" t="s">
        <v>114</v>
      </c>
      <c r="E70" s="173">
        <v>73598344.030000001</v>
      </c>
      <c r="F70" s="12">
        <v>70555947.939999998</v>
      </c>
    </row>
    <row r="71" spans="1:6" x14ac:dyDescent="0.25">
      <c r="A71" s="26"/>
      <c r="B71" s="24"/>
      <c r="C71" s="24"/>
      <c r="D71" s="11" t="s">
        <v>115</v>
      </c>
      <c r="E71" s="173"/>
      <c r="F71" s="173"/>
    </row>
    <row r="72" spans="1:6" x14ac:dyDescent="0.25">
      <c r="A72" s="26"/>
      <c r="B72" s="24"/>
      <c r="C72" s="24"/>
      <c r="D72" s="11" t="s">
        <v>116</v>
      </c>
      <c r="E72" s="173"/>
      <c r="F72" s="173"/>
    </row>
    <row r="73" spans="1:6" x14ac:dyDescent="0.25">
      <c r="A73" s="26"/>
      <c r="B73" s="24"/>
      <c r="C73" s="24"/>
      <c r="D73" s="11" t="s">
        <v>117</v>
      </c>
      <c r="E73" s="173"/>
      <c r="F73" s="173"/>
    </row>
    <row r="74" spans="1:6" x14ac:dyDescent="0.25">
      <c r="A74" s="26"/>
      <c r="B74" s="24"/>
      <c r="C74" s="24"/>
      <c r="D74" s="17"/>
      <c r="E74" s="16"/>
      <c r="F74" s="16"/>
    </row>
    <row r="75" spans="1:6" x14ac:dyDescent="0.25">
      <c r="A75" s="26"/>
      <c r="B75" s="24"/>
      <c r="C75" s="24"/>
      <c r="D75" s="25" t="s">
        <v>118</v>
      </c>
      <c r="E75" s="173">
        <v>0</v>
      </c>
      <c r="F75" s="173">
        <v>0</v>
      </c>
    </row>
    <row r="76" spans="1:6" x14ac:dyDescent="0.25">
      <c r="A76" s="26"/>
      <c r="B76" s="24"/>
      <c r="C76" s="24"/>
      <c r="D76" s="11" t="s">
        <v>119</v>
      </c>
      <c r="E76" s="173"/>
      <c r="F76" s="173"/>
    </row>
    <row r="77" spans="1:6" x14ac:dyDescent="0.25">
      <c r="A77" s="26"/>
      <c r="B77" s="24"/>
      <c r="C77" s="24"/>
      <c r="D77" s="11" t="s">
        <v>120</v>
      </c>
      <c r="E77" s="173"/>
      <c r="F77" s="173"/>
    </row>
    <row r="78" spans="1:6" x14ac:dyDescent="0.25">
      <c r="A78" s="26"/>
      <c r="B78" s="24"/>
      <c r="C78" s="24"/>
      <c r="D78" s="17"/>
      <c r="E78" s="16"/>
      <c r="F78" s="16"/>
    </row>
    <row r="79" spans="1:6" x14ac:dyDescent="0.25">
      <c r="A79" s="26"/>
      <c r="B79" s="24"/>
      <c r="C79" s="24"/>
      <c r="D79" s="21" t="s">
        <v>121</v>
      </c>
      <c r="E79" s="19">
        <f>E63+E68+E75</f>
        <v>76129840.179999992</v>
      </c>
      <c r="F79" s="20">
        <v>72240000.909999996</v>
      </c>
    </row>
    <row r="80" spans="1:6" x14ac:dyDescent="0.25">
      <c r="A80" s="26"/>
      <c r="B80" s="24"/>
      <c r="C80" s="24"/>
      <c r="D80" s="17"/>
      <c r="E80" s="16"/>
      <c r="F80" s="16"/>
    </row>
    <row r="81" spans="1:6" x14ac:dyDescent="0.25">
      <c r="A81" s="26"/>
      <c r="B81" s="24"/>
      <c r="C81" s="24"/>
      <c r="D81" s="21" t="s">
        <v>122</v>
      </c>
      <c r="E81" s="19">
        <f>E59+E79</f>
        <v>79218295.719999999</v>
      </c>
      <c r="F81" s="20">
        <v>73072283.469999999</v>
      </c>
    </row>
    <row r="82" spans="1:6" x14ac:dyDescent="0.25">
      <c r="A82" s="27"/>
      <c r="B82" s="28"/>
      <c r="C82" s="28"/>
      <c r="D82" s="29"/>
      <c r="E82" s="29"/>
      <c r="F82" s="29"/>
    </row>
  </sheetData>
  <mergeCells count="5">
    <mergeCell ref="A1:F1"/>
    <mergeCell ref="A2:F2"/>
    <mergeCell ref="A3:F3"/>
    <mergeCell ref="A4:F4"/>
    <mergeCell ref="A5:F5"/>
  </mergeCells>
  <dataValidations count="1">
    <dataValidation type="decimal" allowBlank="1" showInputMessage="1" showErrorMessage="1" sqref="B9:C9 B17 B47 B60 B62 E9 E47 E79 E81 E59 E68" xr:uid="{00000000-0002-0000-0000-000000000000}">
      <formula1>-1.79769313486231E+100</formula1>
      <formula2>1.79769313486231E+100</formula2>
    </dataValidation>
  </dataValidations>
  <pageMargins left="0.23622047244094491" right="0.23622047244094491" top="0.74803149606299213" bottom="0.74803149606299213" header="0.31496062992125984" footer="0.31496062992125984"/>
  <pageSetup paperSize="119" scale="56" fitToHeight="0" orientation="landscape" r:id="rId1"/>
  <ignoredErrors>
    <ignoredError sqref="E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I37"/>
  <sheetViews>
    <sheetView topLeftCell="A7" workbookViewId="0">
      <selection activeCell="F28" sqref="F28"/>
    </sheetView>
  </sheetViews>
  <sheetFormatPr baseColWidth="10" defaultRowHeight="15" x14ac:dyDescent="0.25"/>
  <cols>
    <col min="1" max="1" width="63" customWidth="1"/>
    <col min="2" max="2" width="23" customWidth="1"/>
    <col min="3" max="7" width="14.140625" bestFit="1" customWidth="1"/>
  </cols>
  <sheetData>
    <row r="1" spans="1:9" x14ac:dyDescent="0.25">
      <c r="A1" s="203" t="s">
        <v>1</v>
      </c>
      <c r="B1" s="204"/>
      <c r="C1" s="204"/>
      <c r="D1" s="204"/>
      <c r="E1" s="204"/>
      <c r="F1" s="204"/>
      <c r="G1" s="205"/>
    </row>
    <row r="2" spans="1:9" x14ac:dyDescent="0.25">
      <c r="A2" s="206" t="s">
        <v>633</v>
      </c>
      <c r="B2" s="207"/>
      <c r="C2" s="207"/>
      <c r="D2" s="207"/>
      <c r="E2" s="207"/>
      <c r="F2" s="207"/>
      <c r="G2" s="208"/>
    </row>
    <row r="3" spans="1:9" x14ac:dyDescent="0.25">
      <c r="A3" s="206" t="s">
        <v>3</v>
      </c>
      <c r="B3" s="207"/>
      <c r="C3" s="207"/>
      <c r="D3" s="207"/>
      <c r="E3" s="207"/>
      <c r="F3" s="207"/>
      <c r="G3" s="208"/>
    </row>
    <row r="4" spans="1:9" x14ac:dyDescent="0.25">
      <c r="A4" s="206" t="s">
        <v>634</v>
      </c>
      <c r="B4" s="207"/>
      <c r="C4" s="207"/>
      <c r="D4" s="207"/>
      <c r="E4" s="207"/>
      <c r="F4" s="207"/>
      <c r="G4" s="208"/>
    </row>
    <row r="5" spans="1:9" x14ac:dyDescent="0.25">
      <c r="A5" s="212" t="s">
        <v>635</v>
      </c>
      <c r="B5" s="141">
        <f>ANIO1P</f>
        <v>2021</v>
      </c>
      <c r="C5" s="226" t="str">
        <f>ANIO2P</f>
        <v>2022 (d)</v>
      </c>
      <c r="D5" s="226" t="str">
        <f>ANIO3P</f>
        <v>2023 (d)</v>
      </c>
      <c r="E5" s="226" t="str">
        <f>ANIO4P</f>
        <v>2024 (d)</v>
      </c>
      <c r="F5" s="226" t="str">
        <f>ANIO5P</f>
        <v>2025 (d)</v>
      </c>
      <c r="G5" s="226" t="str">
        <f>ANIO6P</f>
        <v>2026 (d)</v>
      </c>
    </row>
    <row r="6" spans="1:9" ht="45" x14ac:dyDescent="0.25">
      <c r="A6" s="213"/>
      <c r="B6" s="142" t="s">
        <v>636</v>
      </c>
      <c r="C6" s="227"/>
      <c r="D6" s="227"/>
      <c r="E6" s="227"/>
      <c r="F6" s="227"/>
      <c r="G6" s="227"/>
    </row>
    <row r="7" spans="1:9" x14ac:dyDescent="0.25">
      <c r="A7" s="100" t="s">
        <v>637</v>
      </c>
      <c r="B7" s="143">
        <f t="shared" ref="B7:G7" si="0">SUM(B8:B19)</f>
        <v>35750617.259999998</v>
      </c>
      <c r="C7" s="143">
        <f t="shared" si="0"/>
        <v>36823135.779999994</v>
      </c>
      <c r="D7" s="144">
        <f t="shared" si="0"/>
        <v>37927829.859999999</v>
      </c>
      <c r="E7" s="144">
        <f t="shared" si="0"/>
        <v>39065664.75</v>
      </c>
      <c r="F7" s="144">
        <f t="shared" si="0"/>
        <v>40237634.689999998</v>
      </c>
      <c r="G7" s="144">
        <f t="shared" si="0"/>
        <v>41444763.729999997</v>
      </c>
    </row>
    <row r="8" spans="1:9" x14ac:dyDescent="0.25">
      <c r="A8" s="66" t="s">
        <v>235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</row>
    <row r="9" spans="1:9" x14ac:dyDescent="0.25">
      <c r="A9" s="66" t="s">
        <v>236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</row>
    <row r="10" spans="1:9" x14ac:dyDescent="0.25">
      <c r="A10" s="66" t="s">
        <v>237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9" x14ac:dyDescent="0.25">
      <c r="A11" s="66" t="s">
        <v>638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9" x14ac:dyDescent="0.25">
      <c r="A12" s="66" t="s">
        <v>239</v>
      </c>
      <c r="B12" s="146">
        <v>56341</v>
      </c>
      <c r="C12" s="146">
        <v>58031.23</v>
      </c>
      <c r="D12" s="146">
        <v>59772.17</v>
      </c>
      <c r="E12" s="146">
        <v>61565.33</v>
      </c>
      <c r="F12" s="146">
        <v>63412.29</v>
      </c>
      <c r="G12" s="146">
        <v>65314.66</v>
      </c>
      <c r="I12" s="109"/>
    </row>
    <row r="13" spans="1:9" x14ac:dyDescent="0.25">
      <c r="A13" s="66" t="s">
        <v>240</v>
      </c>
      <c r="B13" s="145"/>
      <c r="C13" s="145">
        <v>0</v>
      </c>
      <c r="D13" s="145">
        <v>0</v>
      </c>
      <c r="E13" s="146">
        <v>0</v>
      </c>
      <c r="F13" s="146">
        <v>0</v>
      </c>
      <c r="G13" s="146">
        <v>0</v>
      </c>
    </row>
    <row r="14" spans="1:9" x14ac:dyDescent="0.25">
      <c r="A14" s="66" t="s">
        <v>639</v>
      </c>
      <c r="B14" s="146">
        <v>35694276.259999998</v>
      </c>
      <c r="C14" s="146">
        <v>36765104.549999997</v>
      </c>
      <c r="D14" s="146">
        <v>37868057.689999998</v>
      </c>
      <c r="E14" s="146">
        <v>39004099.420000002</v>
      </c>
      <c r="F14" s="146">
        <v>40174222.399999999</v>
      </c>
      <c r="G14" s="146">
        <v>41379449.07</v>
      </c>
    </row>
    <row r="15" spans="1:9" x14ac:dyDescent="0.25">
      <c r="A15" s="66" t="s">
        <v>640</v>
      </c>
      <c r="B15" s="145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</row>
    <row r="16" spans="1:9" x14ac:dyDescent="0.25">
      <c r="A16" s="102" t="s">
        <v>641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x14ac:dyDescent="0.25">
      <c r="A17" s="66" t="s">
        <v>260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</row>
    <row r="18" spans="1:7" x14ac:dyDescent="0.25">
      <c r="A18" s="66" t="s">
        <v>261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66" t="s">
        <v>642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</row>
    <row r="20" spans="1:7" x14ac:dyDescent="0.25">
      <c r="A20" s="80"/>
      <c r="B20" s="80"/>
      <c r="C20" s="80"/>
      <c r="D20" s="80"/>
      <c r="E20" s="80"/>
      <c r="F20" s="80"/>
      <c r="G20" s="80"/>
    </row>
    <row r="21" spans="1:7" x14ac:dyDescent="0.25">
      <c r="A21" s="64" t="s">
        <v>643</v>
      </c>
      <c r="B21" s="147">
        <f t="shared" ref="B21:G21" si="1">SUM(B22:B26)</f>
        <v>0</v>
      </c>
      <c r="C21" s="147">
        <f t="shared" si="1"/>
        <v>0</v>
      </c>
      <c r="D21" s="147">
        <f t="shared" si="1"/>
        <v>0</v>
      </c>
      <c r="E21" s="147">
        <f t="shared" si="1"/>
        <v>0</v>
      </c>
      <c r="F21" s="147">
        <f t="shared" si="1"/>
        <v>0</v>
      </c>
      <c r="G21" s="147">
        <f t="shared" si="1"/>
        <v>0</v>
      </c>
    </row>
    <row r="22" spans="1:7" x14ac:dyDescent="0.25">
      <c r="A22" s="66" t="s">
        <v>644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645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 x14ac:dyDescent="0.25">
      <c r="A24" s="66" t="s">
        <v>646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286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287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80"/>
      <c r="B27" s="80"/>
      <c r="C27" s="80"/>
      <c r="D27" s="80"/>
      <c r="E27" s="80"/>
      <c r="F27" s="80"/>
      <c r="G27" s="80"/>
    </row>
    <row r="28" spans="1:7" x14ac:dyDescent="0.25">
      <c r="A28" s="64" t="s">
        <v>647</v>
      </c>
      <c r="B28" s="147">
        <f t="shared" ref="B28:G28" si="2">B29</f>
        <v>0</v>
      </c>
      <c r="C28" s="147">
        <f t="shared" si="2"/>
        <v>0</v>
      </c>
      <c r="D28" s="147">
        <f t="shared" si="2"/>
        <v>0</v>
      </c>
      <c r="E28" s="147">
        <f t="shared" si="2"/>
        <v>0</v>
      </c>
      <c r="F28" s="147">
        <f t="shared" si="2"/>
        <v>0</v>
      </c>
      <c r="G28" s="147">
        <f t="shared" si="2"/>
        <v>0</v>
      </c>
    </row>
    <row r="29" spans="1:7" x14ac:dyDescent="0.25">
      <c r="A29" s="66" t="s">
        <v>290</v>
      </c>
      <c r="B29" s="145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</row>
    <row r="30" spans="1:7" x14ac:dyDescent="0.25">
      <c r="A30" s="80"/>
      <c r="B30" s="80"/>
      <c r="C30" s="80"/>
      <c r="D30" s="80"/>
      <c r="E30" s="80"/>
      <c r="F30" s="80"/>
      <c r="G30" s="80"/>
    </row>
    <row r="31" spans="1:7" x14ac:dyDescent="0.25">
      <c r="A31" s="139" t="s">
        <v>648</v>
      </c>
      <c r="B31" s="148">
        <f t="shared" ref="B31:G31" si="3">B28+B21+B7</f>
        <v>35750617.259999998</v>
      </c>
      <c r="C31" s="148">
        <f t="shared" si="3"/>
        <v>36823135.779999994</v>
      </c>
      <c r="D31" s="148">
        <f t="shared" si="3"/>
        <v>37927829.859999999</v>
      </c>
      <c r="E31" s="148">
        <f t="shared" si="3"/>
        <v>39065664.75</v>
      </c>
      <c r="F31" s="148">
        <f t="shared" si="3"/>
        <v>40237634.689999998</v>
      </c>
      <c r="G31" s="148">
        <f t="shared" si="3"/>
        <v>41444763.729999997</v>
      </c>
    </row>
    <row r="32" spans="1:7" x14ac:dyDescent="0.25">
      <c r="A32" s="80"/>
      <c r="B32" s="80"/>
      <c r="C32" s="80"/>
      <c r="D32" s="80"/>
      <c r="E32" s="80"/>
      <c r="F32" s="80"/>
      <c r="G32" s="80"/>
    </row>
    <row r="33" spans="1:7" x14ac:dyDescent="0.25">
      <c r="A33" s="64" t="s">
        <v>292</v>
      </c>
      <c r="B33" s="92"/>
      <c r="C33" s="92"/>
      <c r="D33" s="92"/>
      <c r="E33" s="92"/>
      <c r="F33" s="92"/>
      <c r="G33" s="92"/>
    </row>
    <row r="34" spans="1:7" ht="30" x14ac:dyDescent="0.25">
      <c r="A34" s="107" t="s">
        <v>649</v>
      </c>
      <c r="B34" s="145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</row>
    <row r="35" spans="1:7" ht="30" x14ac:dyDescent="0.25">
      <c r="A35" s="107" t="s">
        <v>294</v>
      </c>
      <c r="B35" s="145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</row>
    <row r="36" spans="1:7" x14ac:dyDescent="0.25">
      <c r="A36" s="64" t="s">
        <v>650</v>
      </c>
      <c r="B36" s="147">
        <f t="shared" ref="B36:G36" si="4">B35+B34</f>
        <v>0</v>
      </c>
      <c r="C36" s="147">
        <f t="shared" si="4"/>
        <v>0</v>
      </c>
      <c r="D36" s="147">
        <f t="shared" si="4"/>
        <v>0</v>
      </c>
      <c r="E36" s="147">
        <f t="shared" si="4"/>
        <v>0</v>
      </c>
      <c r="F36" s="147">
        <f t="shared" si="4"/>
        <v>0</v>
      </c>
      <c r="G36" s="147">
        <f t="shared" si="4"/>
        <v>0</v>
      </c>
    </row>
    <row r="37" spans="1:7" x14ac:dyDescent="0.25">
      <c r="A37" s="82"/>
      <c r="B37" s="149"/>
      <c r="C37" s="149"/>
      <c r="D37" s="149"/>
      <c r="E37" s="149"/>
      <c r="F37" s="149"/>
      <c r="G37" s="149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allowBlank="1" showInputMessage="1" showErrorMessage="1" prompt="Año 1 (d)" sqref="C5:C6" xr:uid="{00000000-0002-0000-0900-000000000000}"/>
    <dataValidation allowBlank="1" showInputMessage="1" showErrorMessage="1" prompt="Año 2 (d)" sqref="D5:D6" xr:uid="{00000000-0002-0000-0900-000001000000}"/>
    <dataValidation allowBlank="1" showInputMessage="1" showErrorMessage="1" prompt="Año 3 (d)" sqref="E5:E6" xr:uid="{00000000-0002-0000-0900-000002000000}"/>
    <dataValidation allowBlank="1" showInputMessage="1" showErrorMessage="1" prompt="Año 4 (d)" sqref="F5:F6" xr:uid="{00000000-0002-0000-0900-000003000000}"/>
    <dataValidation allowBlank="1" showInputMessage="1" showErrorMessage="1" prompt="Año 5 (d)" sqref="G5:G6" xr:uid="{00000000-0002-0000-0900-000004000000}"/>
    <dataValidation type="decimal" allowBlank="1" showInputMessage="1" showErrorMessage="1" sqref="B7:G36" xr:uid="{00000000-0002-0000-09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7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G31"/>
  <sheetViews>
    <sheetView topLeftCell="A7" workbookViewId="0">
      <selection activeCell="C27" sqref="C27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215" t="s">
        <v>651</v>
      </c>
      <c r="B1" s="215"/>
      <c r="C1" s="215"/>
      <c r="D1" s="215"/>
      <c r="E1" s="215"/>
      <c r="F1" s="215"/>
      <c r="G1" s="215"/>
    </row>
    <row r="2" spans="1:7" x14ac:dyDescent="0.25">
      <c r="A2" s="203" t="s">
        <v>1</v>
      </c>
      <c r="B2" s="204"/>
      <c r="C2" s="204"/>
      <c r="D2" s="204"/>
      <c r="E2" s="204"/>
      <c r="F2" s="204"/>
      <c r="G2" s="205"/>
    </row>
    <row r="3" spans="1:7" x14ac:dyDescent="0.25">
      <c r="A3" s="206" t="s">
        <v>652</v>
      </c>
      <c r="B3" s="207"/>
      <c r="C3" s="207"/>
      <c r="D3" s="207"/>
      <c r="E3" s="207"/>
      <c r="F3" s="207"/>
      <c r="G3" s="208"/>
    </row>
    <row r="4" spans="1:7" x14ac:dyDescent="0.25">
      <c r="A4" s="206" t="s">
        <v>3</v>
      </c>
      <c r="B4" s="207"/>
      <c r="C4" s="207"/>
      <c r="D4" s="207"/>
      <c r="E4" s="207"/>
      <c r="F4" s="207"/>
      <c r="G4" s="208"/>
    </row>
    <row r="5" spans="1:7" x14ac:dyDescent="0.25">
      <c r="A5" s="206" t="s">
        <v>634</v>
      </c>
      <c r="B5" s="207"/>
      <c r="C5" s="207"/>
      <c r="D5" s="207"/>
      <c r="E5" s="207"/>
      <c r="F5" s="207"/>
      <c r="G5" s="208"/>
    </row>
    <row r="6" spans="1:7" x14ac:dyDescent="0.25">
      <c r="A6" s="228" t="s">
        <v>653</v>
      </c>
      <c r="B6" s="141">
        <f>ANIO1P</f>
        <v>2021</v>
      </c>
      <c r="C6" s="226" t="str">
        <f>ANIO2P</f>
        <v>2022 (d)</v>
      </c>
      <c r="D6" s="226" t="str">
        <f>ANIO3P</f>
        <v>2023 (d)</v>
      </c>
      <c r="E6" s="226" t="str">
        <f>ANIO4P</f>
        <v>2024 (d)</v>
      </c>
      <c r="F6" s="226" t="str">
        <f>ANIO5P</f>
        <v>2025 (d)</v>
      </c>
      <c r="G6" s="226" t="str">
        <f>ANIO6P</f>
        <v>2026 (d)</v>
      </c>
    </row>
    <row r="7" spans="1:7" ht="45" x14ac:dyDescent="0.25">
      <c r="A7" s="229"/>
      <c r="B7" s="142" t="s">
        <v>636</v>
      </c>
      <c r="C7" s="227"/>
      <c r="D7" s="227"/>
      <c r="E7" s="227"/>
      <c r="F7" s="227"/>
      <c r="G7" s="227"/>
    </row>
    <row r="8" spans="1:7" x14ac:dyDescent="0.25">
      <c r="A8" s="100" t="s">
        <v>654</v>
      </c>
      <c r="B8" s="143">
        <f t="shared" ref="B8:G8" si="0">SUM(B9:B17)</f>
        <v>34709337.149999999</v>
      </c>
      <c r="C8" s="143">
        <f t="shared" si="0"/>
        <v>35750617.269999996</v>
      </c>
      <c r="D8" s="143">
        <f t="shared" si="0"/>
        <v>36823135.780000009</v>
      </c>
      <c r="E8" s="143">
        <f t="shared" si="0"/>
        <v>37927829.859999992</v>
      </c>
      <c r="F8" s="143">
        <f t="shared" si="0"/>
        <v>39065664.75</v>
      </c>
      <c r="G8" s="143">
        <f t="shared" si="0"/>
        <v>40237634.690000005</v>
      </c>
    </row>
    <row r="9" spans="1:7" x14ac:dyDescent="0.25">
      <c r="A9" s="66" t="s">
        <v>655</v>
      </c>
      <c r="B9" s="146">
        <v>20244330.229999997</v>
      </c>
      <c r="C9" s="146">
        <v>20851660.140000001</v>
      </c>
      <c r="D9" s="146">
        <v>21477209.940000001</v>
      </c>
      <c r="E9" s="146">
        <v>22121526.239999998</v>
      </c>
      <c r="F9" s="146">
        <v>22785172.030000001</v>
      </c>
      <c r="G9" s="146">
        <v>23468727.190000001</v>
      </c>
    </row>
    <row r="10" spans="1:7" x14ac:dyDescent="0.25">
      <c r="A10" s="66" t="s">
        <v>656</v>
      </c>
      <c r="B10" s="146">
        <v>4629980</v>
      </c>
      <c r="C10" s="146">
        <v>4768879.4000000004</v>
      </c>
      <c r="D10" s="146">
        <v>4911945.78</v>
      </c>
      <c r="E10" s="146">
        <v>5059304.16</v>
      </c>
      <c r="F10" s="146">
        <v>5211083.28</v>
      </c>
      <c r="G10" s="146">
        <v>5367415.78</v>
      </c>
    </row>
    <row r="11" spans="1:7" x14ac:dyDescent="0.25">
      <c r="A11" s="66" t="s">
        <v>657</v>
      </c>
      <c r="B11" s="146">
        <v>9522426.9199999999</v>
      </c>
      <c r="C11" s="146">
        <v>9808099.7300000004</v>
      </c>
      <c r="D11" s="146">
        <v>10102342.720000001</v>
      </c>
      <c r="E11" s="146">
        <v>10405413</v>
      </c>
      <c r="F11" s="146">
        <v>10717575.390000001</v>
      </c>
      <c r="G11" s="146">
        <v>11039102.65</v>
      </c>
    </row>
    <row r="12" spans="1:7" x14ac:dyDescent="0.25">
      <c r="A12" s="66" t="s">
        <v>658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</row>
    <row r="13" spans="1:7" x14ac:dyDescent="0.25">
      <c r="A13" s="66" t="s">
        <v>659</v>
      </c>
      <c r="B13" s="146">
        <v>162600</v>
      </c>
      <c r="C13" s="146">
        <v>167478</v>
      </c>
      <c r="D13" s="146">
        <v>172502.34</v>
      </c>
      <c r="E13" s="146">
        <v>177677.41</v>
      </c>
      <c r="F13" s="146">
        <v>183007.73</v>
      </c>
      <c r="G13" s="146">
        <v>188497.96</v>
      </c>
    </row>
    <row r="14" spans="1:7" x14ac:dyDescent="0.25">
      <c r="A14" s="66" t="s">
        <v>660</v>
      </c>
      <c r="B14" s="146">
        <v>150000</v>
      </c>
      <c r="C14" s="146">
        <v>154500</v>
      </c>
      <c r="D14" s="146">
        <v>159135</v>
      </c>
      <c r="E14" s="146">
        <v>163909.05000000002</v>
      </c>
      <c r="F14" s="146">
        <v>168826.32</v>
      </c>
      <c r="G14" s="146">
        <v>173891.11</v>
      </c>
    </row>
    <row r="15" spans="1:7" x14ac:dyDescent="0.25">
      <c r="A15" s="66" t="s">
        <v>661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66" t="s">
        <v>662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x14ac:dyDescent="0.25">
      <c r="A17" s="66" t="s">
        <v>663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x14ac:dyDescent="0.25">
      <c r="A18" s="150"/>
      <c r="B18" s="80"/>
      <c r="C18" s="80"/>
      <c r="D18" s="80"/>
      <c r="E18" s="80"/>
      <c r="F18" s="80"/>
      <c r="G18" s="80"/>
    </row>
    <row r="19" spans="1:7" x14ac:dyDescent="0.25">
      <c r="A19" s="64" t="s">
        <v>664</v>
      </c>
      <c r="B19" s="147">
        <f t="shared" ref="B19:G19" si="1">SUM(B20:B28)</f>
        <v>0</v>
      </c>
      <c r="C19" s="147">
        <f t="shared" si="1"/>
        <v>0</v>
      </c>
      <c r="D19" s="147">
        <f t="shared" si="1"/>
        <v>0</v>
      </c>
      <c r="E19" s="147">
        <f t="shared" si="1"/>
        <v>0</v>
      </c>
      <c r="F19" s="147">
        <f t="shared" si="1"/>
        <v>0</v>
      </c>
      <c r="G19" s="147">
        <f t="shared" si="1"/>
        <v>0</v>
      </c>
    </row>
    <row r="20" spans="1:7" x14ac:dyDescent="0.25">
      <c r="A20" s="66" t="s">
        <v>655</v>
      </c>
      <c r="B20" s="145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</row>
    <row r="21" spans="1:7" x14ac:dyDescent="0.25">
      <c r="A21" s="66" t="s">
        <v>656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66" t="s">
        <v>657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658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 x14ac:dyDescent="0.25">
      <c r="A24" s="66" t="s">
        <v>659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660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661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66" t="s">
        <v>665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x14ac:dyDescent="0.25">
      <c r="A28" s="66" t="s">
        <v>663</v>
      </c>
      <c r="B28" s="145">
        <v>0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29" spans="1:7" x14ac:dyDescent="0.25">
      <c r="A29" s="80"/>
      <c r="B29" s="80"/>
      <c r="C29" s="80"/>
      <c r="D29" s="80"/>
      <c r="E29" s="80"/>
      <c r="F29" s="80"/>
      <c r="G29" s="80"/>
    </row>
    <row r="30" spans="1:7" x14ac:dyDescent="0.25">
      <c r="A30" s="64" t="s">
        <v>666</v>
      </c>
      <c r="B30" s="148">
        <f t="shared" ref="B30:G30" si="2">B8+B19</f>
        <v>34709337.149999999</v>
      </c>
      <c r="C30" s="148">
        <f t="shared" si="2"/>
        <v>35750617.269999996</v>
      </c>
      <c r="D30" s="148">
        <f t="shared" si="2"/>
        <v>36823135.780000009</v>
      </c>
      <c r="E30" s="148">
        <f t="shared" si="2"/>
        <v>37927829.859999992</v>
      </c>
      <c r="F30" s="148">
        <f t="shared" si="2"/>
        <v>39065664.75</v>
      </c>
      <c r="G30" s="148">
        <f t="shared" si="2"/>
        <v>40237634.690000005</v>
      </c>
    </row>
    <row r="31" spans="1:7" x14ac:dyDescent="0.25">
      <c r="A31" s="82"/>
      <c r="B31" s="82"/>
      <c r="C31" s="82"/>
      <c r="D31" s="82"/>
      <c r="E31" s="82"/>
      <c r="F31" s="82"/>
      <c r="G31" s="8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0A00-000000000000}"/>
    <dataValidation allowBlank="1" showInputMessage="1" showErrorMessage="1" prompt="Año 2 (d)" sqref="D6:D7" xr:uid="{00000000-0002-0000-0A00-000001000000}"/>
    <dataValidation allowBlank="1" showInputMessage="1" showErrorMessage="1" prompt="Año 3 (d)" sqref="E6:E7" xr:uid="{00000000-0002-0000-0A00-000002000000}"/>
    <dataValidation allowBlank="1" showInputMessage="1" showErrorMessage="1" prompt="Año 4 (d)" sqref="F6:F7" xr:uid="{00000000-0002-0000-0A00-000003000000}"/>
    <dataValidation allowBlank="1" showInputMessage="1" showErrorMessage="1" prompt="Año 5 (d)" sqref="G6:G7" xr:uid="{00000000-0002-0000-0A00-000004000000}"/>
    <dataValidation type="decimal" allowBlank="1" showInputMessage="1" showErrorMessage="1" sqref="B8:G30" xr:uid="{00000000-0002-0000-0A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G40"/>
  <sheetViews>
    <sheetView workbookViewId="0">
      <selection activeCell="D34" sqref="D34"/>
    </sheetView>
  </sheetViews>
  <sheetFormatPr baseColWidth="10" defaultRowHeight="15" x14ac:dyDescent="0.25"/>
  <cols>
    <col min="1" max="1" width="74.7109375" bestFit="1" customWidth="1"/>
    <col min="2" max="2" width="14.28515625" bestFit="1" customWidth="1"/>
    <col min="3" max="5" width="14.140625" bestFit="1" customWidth="1"/>
    <col min="6" max="6" width="13.85546875" customWidth="1"/>
    <col min="7" max="7" width="14.140625" bestFit="1" customWidth="1"/>
  </cols>
  <sheetData>
    <row r="1" spans="1:7" ht="21" x14ac:dyDescent="0.25">
      <c r="A1" s="215" t="s">
        <v>667</v>
      </c>
      <c r="B1" s="215"/>
      <c r="C1" s="215"/>
      <c r="D1" s="215"/>
      <c r="E1" s="215"/>
      <c r="F1" s="215"/>
      <c r="G1" s="215"/>
    </row>
    <row r="2" spans="1:7" x14ac:dyDescent="0.25">
      <c r="A2" s="203" t="s">
        <v>1</v>
      </c>
      <c r="B2" s="204"/>
      <c r="C2" s="204"/>
      <c r="D2" s="204"/>
      <c r="E2" s="204"/>
      <c r="F2" s="204"/>
      <c r="G2" s="205"/>
    </row>
    <row r="3" spans="1:7" x14ac:dyDescent="0.25">
      <c r="A3" s="206" t="s">
        <v>668</v>
      </c>
      <c r="B3" s="207"/>
      <c r="C3" s="207"/>
      <c r="D3" s="207"/>
      <c r="E3" s="207"/>
      <c r="F3" s="207"/>
      <c r="G3" s="208"/>
    </row>
    <row r="4" spans="1:7" x14ac:dyDescent="0.25">
      <c r="A4" s="209" t="s">
        <v>3</v>
      </c>
      <c r="B4" s="210"/>
      <c r="C4" s="210"/>
      <c r="D4" s="210"/>
      <c r="E4" s="210"/>
      <c r="F4" s="210"/>
      <c r="G4" s="211"/>
    </row>
    <row r="5" spans="1:7" x14ac:dyDescent="0.25">
      <c r="A5" s="231" t="s">
        <v>635</v>
      </c>
      <c r="B5" s="232" t="str">
        <f>ANIO5R</f>
        <v>2015 ¹ (c)</v>
      </c>
      <c r="C5" s="232" t="str">
        <f>ANIO4R</f>
        <v>2016 ¹ (c)</v>
      </c>
      <c r="D5" s="232" t="str">
        <f>ANIO3R</f>
        <v>2017 ¹ (c)</v>
      </c>
      <c r="E5" s="232" t="str">
        <f>ANIO2R</f>
        <v>2018 ¹ (c)</v>
      </c>
      <c r="F5" s="232" t="str">
        <f>ANIO1R</f>
        <v>2019 ¹ (c)</v>
      </c>
      <c r="G5" s="141">
        <f>ANIO_INFORME</f>
        <v>2020</v>
      </c>
    </row>
    <row r="6" spans="1:7" ht="47.25" x14ac:dyDescent="0.25">
      <c r="A6" s="217"/>
      <c r="B6" s="233"/>
      <c r="C6" s="233"/>
      <c r="D6" s="233"/>
      <c r="E6" s="233"/>
      <c r="F6" s="233"/>
      <c r="G6" s="142" t="s">
        <v>669</v>
      </c>
    </row>
    <row r="7" spans="1:7" x14ac:dyDescent="0.25">
      <c r="A7" s="100" t="s">
        <v>670</v>
      </c>
      <c r="B7" s="143">
        <f t="shared" ref="B7:G7" si="0">SUM(B8:B19)</f>
        <v>34613819.060000002</v>
      </c>
      <c r="C7" s="143">
        <f t="shared" si="0"/>
        <v>39509608.07</v>
      </c>
      <c r="D7" s="143">
        <f t="shared" si="0"/>
        <v>41710466.850000001</v>
      </c>
      <c r="E7" s="143">
        <f t="shared" si="0"/>
        <v>44583012.719999999</v>
      </c>
      <c r="F7" s="143">
        <f t="shared" si="0"/>
        <v>41612413.689999998</v>
      </c>
      <c r="G7" s="143">
        <f t="shared" si="0"/>
        <v>47231206.330000006</v>
      </c>
    </row>
    <row r="8" spans="1:7" x14ac:dyDescent="0.25">
      <c r="A8" s="66" t="s">
        <v>671</v>
      </c>
      <c r="B8" s="145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</row>
    <row r="9" spans="1:7" x14ac:dyDescent="0.25">
      <c r="A9" s="66" t="s">
        <v>672</v>
      </c>
      <c r="B9" s="145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</row>
    <row r="10" spans="1:7" x14ac:dyDescent="0.25">
      <c r="A10" s="66" t="s">
        <v>673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7" x14ac:dyDescent="0.25">
      <c r="A11" s="66" t="s">
        <v>674</v>
      </c>
      <c r="B11" s="145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</row>
    <row r="12" spans="1:7" x14ac:dyDescent="0.25">
      <c r="A12" s="66" t="s">
        <v>675</v>
      </c>
      <c r="B12" s="151">
        <v>80317.789999999994</v>
      </c>
      <c r="C12" s="151">
        <v>182761.19</v>
      </c>
      <c r="D12" s="151">
        <v>266382.53999999998</v>
      </c>
      <c r="E12" s="151">
        <v>280048.59999999998</v>
      </c>
      <c r="F12" s="151">
        <v>133478.26999999999</v>
      </c>
      <c r="G12" s="151">
        <v>868144.81</v>
      </c>
    </row>
    <row r="13" spans="1:7" x14ac:dyDescent="0.25">
      <c r="A13" s="66" t="s">
        <v>676</v>
      </c>
      <c r="B13" s="145">
        <v>0</v>
      </c>
      <c r="C13" s="145">
        <v>0</v>
      </c>
      <c r="D13" s="145">
        <v>0</v>
      </c>
      <c r="E13" s="151">
        <v>842858.27</v>
      </c>
      <c r="F13" s="151">
        <v>1546158.48</v>
      </c>
      <c r="G13" s="145">
        <v>0</v>
      </c>
    </row>
    <row r="14" spans="1:7" x14ac:dyDescent="0.25">
      <c r="A14" s="66" t="s">
        <v>677</v>
      </c>
      <c r="B14" s="151">
        <v>34533501.270000003</v>
      </c>
      <c r="C14" s="151">
        <v>39326846.880000003</v>
      </c>
      <c r="D14" s="151">
        <v>37953887.350000001</v>
      </c>
      <c r="E14" s="151">
        <v>43460105.850000001</v>
      </c>
      <c r="F14" s="151">
        <v>39174640.82</v>
      </c>
      <c r="G14" s="151">
        <v>46223972.270000003</v>
      </c>
    </row>
    <row r="15" spans="1:7" x14ac:dyDescent="0.25">
      <c r="A15" s="66" t="s">
        <v>678</v>
      </c>
      <c r="B15" s="145">
        <v>0</v>
      </c>
      <c r="C15" s="145">
        <v>0</v>
      </c>
      <c r="D15" s="151">
        <v>3490196.96</v>
      </c>
      <c r="E15" s="145">
        <v>0</v>
      </c>
      <c r="F15" s="151">
        <v>758136.12</v>
      </c>
      <c r="G15" s="151">
        <v>139089.25</v>
      </c>
    </row>
    <row r="16" spans="1:7" x14ac:dyDescent="0.25">
      <c r="A16" s="66" t="s">
        <v>679</v>
      </c>
      <c r="B16" s="145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</row>
    <row r="17" spans="1:7" x14ac:dyDescent="0.25">
      <c r="A17" s="66" t="s">
        <v>680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</row>
    <row r="18" spans="1:7" x14ac:dyDescent="0.25">
      <c r="A18" s="66" t="s">
        <v>681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66" t="s">
        <v>682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</row>
    <row r="20" spans="1:7" x14ac:dyDescent="0.25">
      <c r="A20" s="80"/>
      <c r="B20" s="80"/>
      <c r="C20" s="80"/>
      <c r="D20" s="80"/>
      <c r="E20" s="80"/>
      <c r="F20" s="80"/>
      <c r="G20" s="80"/>
    </row>
    <row r="21" spans="1:7" x14ac:dyDescent="0.25">
      <c r="A21" s="64" t="s">
        <v>683</v>
      </c>
      <c r="B21" s="147">
        <f t="shared" ref="B21:G21" si="1">SUM(B22:B26)</f>
        <v>0</v>
      </c>
      <c r="C21" s="147">
        <f t="shared" si="1"/>
        <v>0</v>
      </c>
      <c r="D21" s="147">
        <f t="shared" si="1"/>
        <v>0</v>
      </c>
      <c r="E21" s="147">
        <f t="shared" si="1"/>
        <v>0</v>
      </c>
      <c r="F21" s="147">
        <f t="shared" si="1"/>
        <v>0</v>
      </c>
      <c r="G21" s="147">
        <f t="shared" si="1"/>
        <v>0</v>
      </c>
    </row>
    <row r="22" spans="1:7" x14ac:dyDescent="0.25">
      <c r="A22" s="66" t="s">
        <v>684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685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</row>
    <row r="24" spans="1:7" x14ac:dyDescent="0.25">
      <c r="A24" s="66" t="s">
        <v>686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687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688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80"/>
      <c r="B27" s="80"/>
      <c r="C27" s="80"/>
      <c r="D27" s="80"/>
      <c r="E27" s="80"/>
      <c r="F27" s="80"/>
      <c r="G27" s="80"/>
    </row>
    <row r="28" spans="1:7" x14ac:dyDescent="0.25">
      <c r="A28" s="64" t="s">
        <v>689</v>
      </c>
      <c r="B28" s="148">
        <f t="shared" ref="B28:G28" si="2">B29</f>
        <v>4814481.92</v>
      </c>
      <c r="C28" s="148">
        <f t="shared" si="2"/>
        <v>3191219.07</v>
      </c>
      <c r="D28" s="148">
        <f t="shared" si="2"/>
        <v>12430500.27</v>
      </c>
      <c r="E28" s="148">
        <f t="shared" si="2"/>
        <v>14630977.5</v>
      </c>
      <c r="F28" s="148">
        <f t="shared" si="2"/>
        <v>20134997.210000001</v>
      </c>
      <c r="G28" s="148">
        <f t="shared" si="2"/>
        <v>16674078.960000001</v>
      </c>
    </row>
    <row r="29" spans="1:7" x14ac:dyDescent="0.25">
      <c r="A29" s="66" t="s">
        <v>290</v>
      </c>
      <c r="B29" s="152">
        <v>4814481.92</v>
      </c>
      <c r="C29" s="152">
        <v>3191219.07</v>
      </c>
      <c r="D29" s="152">
        <v>12430500.27</v>
      </c>
      <c r="E29" s="152">
        <v>14630977.5</v>
      </c>
      <c r="F29" s="151">
        <v>20134997.210000001</v>
      </c>
      <c r="G29" s="151">
        <v>16674078.960000001</v>
      </c>
    </row>
    <row r="30" spans="1:7" x14ac:dyDescent="0.25">
      <c r="A30" s="80"/>
      <c r="B30" s="80"/>
      <c r="C30" s="153"/>
      <c r="D30" s="153"/>
      <c r="E30" s="153"/>
      <c r="F30" s="153"/>
      <c r="G30" s="80"/>
    </row>
    <row r="31" spans="1:7" x14ac:dyDescent="0.25">
      <c r="A31" s="64" t="s">
        <v>690</v>
      </c>
      <c r="B31" s="148">
        <f t="shared" ref="B31:G31" si="3">B7+B21+B28</f>
        <v>39428300.980000004</v>
      </c>
      <c r="C31" s="148">
        <f t="shared" si="3"/>
        <v>42700827.140000001</v>
      </c>
      <c r="D31" s="148">
        <f t="shared" si="3"/>
        <v>54140967.120000005</v>
      </c>
      <c r="E31" s="148">
        <f t="shared" si="3"/>
        <v>59213990.219999999</v>
      </c>
      <c r="F31" s="148">
        <f t="shared" si="3"/>
        <v>61747410.899999999</v>
      </c>
      <c r="G31" s="148">
        <f t="shared" si="3"/>
        <v>63905285.290000007</v>
      </c>
    </row>
    <row r="32" spans="1:7" x14ac:dyDescent="0.25">
      <c r="A32" s="80"/>
      <c r="B32" s="80"/>
      <c r="C32" s="80"/>
      <c r="D32" s="80"/>
      <c r="E32" s="80"/>
      <c r="F32" s="80"/>
      <c r="G32" s="80"/>
    </row>
    <row r="33" spans="1:7" x14ac:dyDescent="0.25">
      <c r="A33" s="64" t="s">
        <v>292</v>
      </c>
      <c r="B33" s="80"/>
      <c r="C33" s="80"/>
      <c r="D33" s="80"/>
      <c r="E33" s="80"/>
      <c r="F33" s="80"/>
      <c r="G33" s="80"/>
    </row>
    <row r="34" spans="1:7" ht="30" x14ac:dyDescent="0.25">
      <c r="A34" s="107" t="s">
        <v>649</v>
      </c>
      <c r="B34" s="145"/>
      <c r="C34" s="145"/>
      <c r="D34" s="145"/>
      <c r="E34" s="145"/>
      <c r="F34" s="145"/>
      <c r="G34" s="145"/>
    </row>
    <row r="35" spans="1:7" ht="30" x14ac:dyDescent="0.25">
      <c r="A35" s="107" t="s">
        <v>691</v>
      </c>
      <c r="B35" s="145"/>
      <c r="C35" s="145"/>
      <c r="D35" s="145"/>
      <c r="E35" s="145"/>
      <c r="F35" s="145"/>
      <c r="G35" s="145"/>
    </row>
    <row r="36" spans="1:7" x14ac:dyDescent="0.25">
      <c r="A36" s="64" t="s">
        <v>692</v>
      </c>
      <c r="B36" s="147">
        <f t="shared" ref="B36:G36" si="4">B34+B35</f>
        <v>0</v>
      </c>
      <c r="C36" s="147">
        <f t="shared" si="4"/>
        <v>0</v>
      </c>
      <c r="D36" s="147">
        <f t="shared" si="4"/>
        <v>0</v>
      </c>
      <c r="E36" s="147">
        <f t="shared" si="4"/>
        <v>0</v>
      </c>
      <c r="F36" s="147">
        <f t="shared" si="4"/>
        <v>0</v>
      </c>
      <c r="G36" s="147">
        <f t="shared" si="4"/>
        <v>0</v>
      </c>
    </row>
    <row r="37" spans="1:7" x14ac:dyDescent="0.25">
      <c r="A37" s="82"/>
      <c r="B37" s="82"/>
      <c r="C37" s="82"/>
      <c r="D37" s="82"/>
      <c r="E37" s="82"/>
      <c r="F37" s="82"/>
      <c r="G37" s="82"/>
    </row>
    <row r="38" spans="1:7" x14ac:dyDescent="0.25">
      <c r="A38" s="77"/>
    </row>
    <row r="39" spans="1:7" x14ac:dyDescent="0.25">
      <c r="A39" s="230" t="s">
        <v>693</v>
      </c>
      <c r="B39" s="230"/>
      <c r="C39" s="230"/>
      <c r="D39" s="230"/>
      <c r="E39" s="230"/>
      <c r="F39" s="230"/>
      <c r="G39" s="230"/>
    </row>
    <row r="40" spans="1:7" x14ac:dyDescent="0.25">
      <c r="A40" s="230" t="s">
        <v>694</v>
      </c>
      <c r="B40" s="230"/>
      <c r="C40" s="230"/>
      <c r="D40" s="230"/>
      <c r="E40" s="230"/>
      <c r="F40" s="230"/>
      <c r="G40" s="230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0B00-000000000000}"/>
    <dataValidation allowBlank="1" showInputMessage="1" showErrorMessage="1" prompt="Año 2 (c)" sqref="E5:E6" xr:uid="{00000000-0002-0000-0B00-000001000000}"/>
    <dataValidation allowBlank="1" showInputMessage="1" showErrorMessage="1" prompt="Año 3 (c)" sqref="D5:D6" xr:uid="{00000000-0002-0000-0B00-000002000000}"/>
    <dataValidation allowBlank="1" showInputMessage="1" showErrorMessage="1" prompt="Año 4 (c)" sqref="C5:C6" xr:uid="{00000000-0002-0000-0B00-000003000000}"/>
    <dataValidation allowBlank="1" showInputMessage="1" showErrorMessage="1" prompt="Año 5 (c)" sqref="B5:B6" xr:uid="{00000000-0002-0000-0B00-000004000000}"/>
    <dataValidation type="decimal" allowBlank="1" showInputMessage="1" showErrorMessage="1" sqref="B7:G36" xr:uid="{00000000-0002-0000-0B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7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G33"/>
  <sheetViews>
    <sheetView topLeftCell="A4" workbookViewId="0">
      <selection activeCell="D37" sqref="D37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215" t="s">
        <v>695</v>
      </c>
      <c r="B1" s="215"/>
      <c r="C1" s="215"/>
      <c r="D1" s="215"/>
      <c r="E1" s="215"/>
      <c r="F1" s="215"/>
      <c r="G1" s="215"/>
    </row>
    <row r="2" spans="1:7" x14ac:dyDescent="0.25">
      <c r="A2" s="203" t="s">
        <v>1</v>
      </c>
      <c r="B2" s="204"/>
      <c r="C2" s="204"/>
      <c r="D2" s="204"/>
      <c r="E2" s="204"/>
      <c r="F2" s="204"/>
      <c r="G2" s="205"/>
    </row>
    <row r="3" spans="1:7" x14ac:dyDescent="0.25">
      <c r="A3" s="206" t="s">
        <v>696</v>
      </c>
      <c r="B3" s="207"/>
      <c r="C3" s="207"/>
      <c r="D3" s="207"/>
      <c r="E3" s="207"/>
      <c r="F3" s="207"/>
      <c r="G3" s="208"/>
    </row>
    <row r="4" spans="1:7" x14ac:dyDescent="0.25">
      <c r="A4" s="209" t="s">
        <v>3</v>
      </c>
      <c r="B4" s="210"/>
      <c r="C4" s="210"/>
      <c r="D4" s="210"/>
      <c r="E4" s="210"/>
      <c r="F4" s="210"/>
      <c r="G4" s="211"/>
    </row>
    <row r="5" spans="1:7" x14ac:dyDescent="0.25">
      <c r="A5" s="234" t="s">
        <v>653</v>
      </c>
      <c r="B5" s="232" t="str">
        <f>ANIO5R</f>
        <v>2015 ¹ (c)</v>
      </c>
      <c r="C5" s="232" t="str">
        <f>ANIO4R</f>
        <v>2016 ¹ (c)</v>
      </c>
      <c r="D5" s="232" t="str">
        <f>ANIO3R</f>
        <v>2017 ¹ (c)</v>
      </c>
      <c r="E5" s="232" t="str">
        <f>ANIO2R</f>
        <v>2018 ¹ (c)</v>
      </c>
      <c r="F5" s="232" t="str">
        <f>ANIO1R</f>
        <v>2019 ¹ (c)</v>
      </c>
      <c r="G5" s="141">
        <f>ANIO_INFORME</f>
        <v>2020</v>
      </c>
    </row>
    <row r="6" spans="1:7" ht="32.25" x14ac:dyDescent="0.25">
      <c r="A6" s="235"/>
      <c r="B6" s="233"/>
      <c r="C6" s="233"/>
      <c r="D6" s="233"/>
      <c r="E6" s="233"/>
      <c r="F6" s="233"/>
      <c r="G6" s="142" t="s">
        <v>697</v>
      </c>
    </row>
    <row r="7" spans="1:7" x14ac:dyDescent="0.25">
      <c r="A7" s="100" t="s">
        <v>698</v>
      </c>
      <c r="B7" s="143">
        <f t="shared" ref="B7:G7" si="0">SUM(B8:B16)</f>
        <v>26112247.890000001</v>
      </c>
      <c r="C7" s="143">
        <f t="shared" si="0"/>
        <v>29441025.429999996</v>
      </c>
      <c r="D7" s="143">
        <f t="shared" si="0"/>
        <v>36630556.239999995</v>
      </c>
      <c r="E7" s="143">
        <f t="shared" si="0"/>
        <v>43202251.079999998</v>
      </c>
      <c r="F7" s="143">
        <f t="shared" si="0"/>
        <v>48907610.400000006</v>
      </c>
      <c r="G7" s="143">
        <f t="shared" si="0"/>
        <v>56153033.070000008</v>
      </c>
    </row>
    <row r="8" spans="1:7" x14ac:dyDescent="0.25">
      <c r="A8" s="154" t="s">
        <v>655</v>
      </c>
      <c r="B8" s="155">
        <v>12850110.07</v>
      </c>
      <c r="C8" s="156">
        <v>11168334.939999999</v>
      </c>
      <c r="D8" s="155">
        <v>11087644.1</v>
      </c>
      <c r="E8" s="155">
        <v>13476962.879999999</v>
      </c>
      <c r="F8" s="157">
        <v>17790839.59</v>
      </c>
      <c r="G8" s="158">
        <v>20780309.599999998</v>
      </c>
    </row>
    <row r="9" spans="1:7" x14ac:dyDescent="0.25">
      <c r="A9" s="66" t="s">
        <v>656</v>
      </c>
      <c r="B9" s="155">
        <v>1808276.8399999999</v>
      </c>
      <c r="C9" s="159">
        <v>2687516.81</v>
      </c>
      <c r="D9" s="157">
        <v>3546150.2899999996</v>
      </c>
      <c r="E9" s="157">
        <v>4003317.59</v>
      </c>
      <c r="F9" s="157">
        <v>3982195.8</v>
      </c>
      <c r="G9" s="157">
        <v>5051099.3900000006</v>
      </c>
    </row>
    <row r="10" spans="1:7" x14ac:dyDescent="0.25">
      <c r="A10" s="66" t="s">
        <v>657</v>
      </c>
      <c r="B10" s="155">
        <v>5447693.5</v>
      </c>
      <c r="C10" s="159">
        <v>8209655.1499999994</v>
      </c>
      <c r="D10" s="157">
        <v>8938567.9799999986</v>
      </c>
      <c r="E10" s="157">
        <v>12053533.430000002</v>
      </c>
      <c r="F10" s="157">
        <v>15712932.890000001</v>
      </c>
      <c r="G10" s="157">
        <v>16039878.080000002</v>
      </c>
    </row>
    <row r="11" spans="1:7" x14ac:dyDescent="0.25">
      <c r="A11" s="66" t="s">
        <v>658</v>
      </c>
      <c r="B11" s="160">
        <v>0</v>
      </c>
      <c r="C11" s="159">
        <v>4862295.45</v>
      </c>
      <c r="D11" s="161">
        <v>0</v>
      </c>
      <c r="E11" s="146">
        <v>0</v>
      </c>
      <c r="F11" s="146">
        <v>0</v>
      </c>
      <c r="G11" s="146">
        <v>10768.45</v>
      </c>
    </row>
    <row r="12" spans="1:7" x14ac:dyDescent="0.25">
      <c r="A12" s="66" t="s">
        <v>659</v>
      </c>
      <c r="B12" s="155">
        <v>1531137.0699999998</v>
      </c>
      <c r="C12" s="159">
        <v>529991.42999999993</v>
      </c>
      <c r="D12" s="157">
        <v>11038154.48</v>
      </c>
      <c r="E12" s="157">
        <v>6702635.4100000001</v>
      </c>
      <c r="F12" s="157">
        <v>5056785.84</v>
      </c>
      <c r="G12" s="157">
        <v>1261968.68</v>
      </c>
    </row>
    <row r="13" spans="1:7" x14ac:dyDescent="0.25">
      <c r="A13" s="66" t="s">
        <v>660</v>
      </c>
      <c r="B13" s="155">
        <v>4475030.41</v>
      </c>
      <c r="C13" s="159">
        <v>1983231.65</v>
      </c>
      <c r="D13" s="157">
        <v>2020039.39</v>
      </c>
      <c r="E13" s="157">
        <v>6965801.7699999996</v>
      </c>
      <c r="F13" s="157">
        <v>6364856.2800000003</v>
      </c>
      <c r="G13" s="157">
        <v>13009008.870000001</v>
      </c>
    </row>
    <row r="14" spans="1:7" x14ac:dyDescent="0.25">
      <c r="A14" s="66" t="s">
        <v>661</v>
      </c>
      <c r="B14" s="160">
        <v>0</v>
      </c>
      <c r="C14" s="145">
        <v>0</v>
      </c>
      <c r="D14" s="162">
        <v>0</v>
      </c>
      <c r="E14" s="146">
        <v>0</v>
      </c>
      <c r="F14" s="146">
        <v>0</v>
      </c>
      <c r="G14" s="145">
        <v>0</v>
      </c>
    </row>
    <row r="15" spans="1:7" x14ac:dyDescent="0.25">
      <c r="A15" s="66" t="s">
        <v>662</v>
      </c>
      <c r="B15" s="160">
        <v>0</v>
      </c>
      <c r="C15" s="145">
        <v>0</v>
      </c>
      <c r="D15" s="162">
        <v>0</v>
      </c>
      <c r="E15" s="146">
        <v>0</v>
      </c>
      <c r="F15" s="146">
        <v>0</v>
      </c>
      <c r="G15" s="145">
        <v>0</v>
      </c>
    </row>
    <row r="16" spans="1:7" x14ac:dyDescent="0.25">
      <c r="A16" s="66" t="s">
        <v>663</v>
      </c>
      <c r="B16" s="160">
        <v>0</v>
      </c>
      <c r="C16" s="145">
        <v>0</v>
      </c>
      <c r="D16" s="162">
        <v>0</v>
      </c>
      <c r="E16" s="146">
        <v>0</v>
      </c>
      <c r="F16" s="146">
        <v>0</v>
      </c>
      <c r="G16" s="145">
        <v>0</v>
      </c>
    </row>
    <row r="17" spans="1:7" x14ac:dyDescent="0.25">
      <c r="A17" s="80"/>
      <c r="B17" s="163"/>
      <c r="C17" s="80"/>
      <c r="D17" s="164"/>
      <c r="E17" s="153"/>
      <c r="F17" s="153"/>
      <c r="G17" s="80"/>
    </row>
    <row r="18" spans="1:7" x14ac:dyDescent="0.25">
      <c r="A18" s="64" t="s">
        <v>699</v>
      </c>
      <c r="B18" s="165">
        <f t="shared" ref="B18:G18" si="1">SUM(B19:B27)</f>
        <v>0</v>
      </c>
      <c r="C18" s="147">
        <f t="shared" si="1"/>
        <v>0</v>
      </c>
      <c r="D18" s="166">
        <f t="shared" si="1"/>
        <v>0</v>
      </c>
      <c r="E18" s="147">
        <f t="shared" si="1"/>
        <v>0</v>
      </c>
      <c r="F18" s="147">
        <f t="shared" si="1"/>
        <v>0</v>
      </c>
      <c r="G18" s="147">
        <f t="shared" si="1"/>
        <v>68180.39</v>
      </c>
    </row>
    <row r="19" spans="1:7" x14ac:dyDescent="0.25">
      <c r="A19" s="66" t="s">
        <v>655</v>
      </c>
      <c r="B19" s="167">
        <v>0</v>
      </c>
      <c r="C19" s="145">
        <v>0</v>
      </c>
      <c r="D19" s="162">
        <v>0</v>
      </c>
      <c r="E19" s="145">
        <v>0</v>
      </c>
      <c r="F19" s="145">
        <v>0</v>
      </c>
      <c r="G19" s="145">
        <v>0</v>
      </c>
    </row>
    <row r="20" spans="1:7" x14ac:dyDescent="0.25">
      <c r="A20" s="66" t="s">
        <v>656</v>
      </c>
      <c r="B20" s="145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344.83</v>
      </c>
    </row>
    <row r="21" spans="1:7" x14ac:dyDescent="0.25">
      <c r="A21" s="66" t="s">
        <v>657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66" t="s">
        <v>658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66" t="s">
        <v>659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6">
        <v>67835.56</v>
      </c>
    </row>
    <row r="24" spans="1:7" x14ac:dyDescent="0.25">
      <c r="A24" s="66" t="s">
        <v>660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</row>
    <row r="25" spans="1:7" x14ac:dyDescent="0.25">
      <c r="A25" s="66" t="s">
        <v>661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7" x14ac:dyDescent="0.25">
      <c r="A26" s="66" t="s">
        <v>665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x14ac:dyDescent="0.25">
      <c r="A27" s="66" t="s">
        <v>663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</row>
    <row r="28" spans="1:7" x14ac:dyDescent="0.25">
      <c r="A28" s="80"/>
      <c r="B28" s="80"/>
      <c r="C28" s="80"/>
      <c r="D28" s="80"/>
      <c r="E28" s="80"/>
      <c r="F28" s="80"/>
      <c r="G28" s="80"/>
    </row>
    <row r="29" spans="1:7" x14ac:dyDescent="0.25">
      <c r="A29" s="64" t="s">
        <v>700</v>
      </c>
      <c r="B29" s="146">
        <f t="shared" ref="B29:G29" si="2">B7+B18</f>
        <v>26112247.890000001</v>
      </c>
      <c r="C29" s="146">
        <f t="shared" si="2"/>
        <v>29441025.429999996</v>
      </c>
      <c r="D29" s="146">
        <f t="shared" si="2"/>
        <v>36630556.239999995</v>
      </c>
      <c r="E29" s="146">
        <f t="shared" si="2"/>
        <v>43202251.079999998</v>
      </c>
      <c r="F29" s="146">
        <f t="shared" si="2"/>
        <v>48907610.400000006</v>
      </c>
      <c r="G29" s="146">
        <f t="shared" si="2"/>
        <v>56221213.460000008</v>
      </c>
    </row>
    <row r="30" spans="1:7" x14ac:dyDescent="0.25">
      <c r="A30" s="82"/>
      <c r="B30" s="82"/>
      <c r="C30" s="82"/>
      <c r="D30" s="82"/>
      <c r="E30" s="82"/>
      <c r="F30" s="82"/>
      <c r="G30" s="82"/>
    </row>
    <row r="31" spans="1:7" x14ac:dyDescent="0.25">
      <c r="A31" s="77"/>
    </row>
    <row r="32" spans="1:7" x14ac:dyDescent="0.25">
      <c r="A32" s="230" t="s">
        <v>693</v>
      </c>
      <c r="B32" s="230"/>
      <c r="C32" s="230"/>
      <c r="D32" s="230"/>
      <c r="E32" s="230"/>
      <c r="F32" s="230"/>
      <c r="G32" s="230"/>
    </row>
    <row r="33" spans="1:7" x14ac:dyDescent="0.25">
      <c r="A33" s="230" t="s">
        <v>701</v>
      </c>
      <c r="B33" s="230"/>
      <c r="C33" s="230"/>
      <c r="D33" s="230"/>
      <c r="E33" s="230"/>
      <c r="F33" s="230"/>
      <c r="G33" s="230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0C00-000000000000}"/>
    <dataValidation allowBlank="1" showInputMessage="1" showErrorMessage="1" prompt="Año 2 (c)" sqref="E5:E6" xr:uid="{00000000-0002-0000-0C00-000001000000}"/>
    <dataValidation allowBlank="1" showInputMessage="1" showErrorMessage="1" prompt="Año 3 (c)" sqref="D5:D6" xr:uid="{00000000-0002-0000-0C00-000002000000}"/>
    <dataValidation allowBlank="1" showInputMessage="1" showErrorMessage="1" prompt="Año 4 (c)" sqref="C5:C6" xr:uid="{00000000-0002-0000-0C00-000003000000}"/>
    <dataValidation allowBlank="1" showInputMessage="1" showErrorMessage="1" prompt="Año 5 (c)" sqref="B5:B6" xr:uid="{00000000-0002-0000-0C00-000004000000}"/>
    <dataValidation type="decimal" allowBlank="1" showInputMessage="1" showErrorMessage="1" sqref="B7:G29" xr:uid="{00000000-0002-0000-0C00-000005000000}">
      <formula1>-1.79769313486231E+100</formula1>
      <formula2>1.79769313486231E+100</formula2>
    </dataValidation>
  </dataValidations>
  <pageMargins left="0.7" right="0.7" top="0.75" bottom="0.75" header="0.3" footer="0.3"/>
  <pageSetup paperSize="119" scale="63" fitToHeight="0" orientation="landscape" r:id="rId1"/>
  <ignoredErrors>
    <ignoredError sqref="B18:G18 B28:G29 G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workbookViewId="0">
      <selection activeCell="H27" sqref="H27"/>
    </sheetView>
  </sheetViews>
  <sheetFormatPr baseColWidth="10" defaultRowHeight="15" x14ac:dyDescent="0.25"/>
  <cols>
    <col min="1" max="1" width="46.140625" customWidth="1"/>
    <col min="2" max="2" width="16" customWidth="1"/>
    <col min="6" max="6" width="16.7109375" customWidth="1"/>
  </cols>
  <sheetData>
    <row r="1" spans="1:6" ht="21" x14ac:dyDescent="0.25">
      <c r="A1" s="236" t="s">
        <v>702</v>
      </c>
      <c r="B1" s="236"/>
      <c r="C1" s="236"/>
      <c r="D1" s="236"/>
      <c r="E1" s="236"/>
      <c r="F1" s="236"/>
    </row>
    <row r="2" spans="1:6" x14ac:dyDescent="0.25">
      <c r="A2" s="203" t="str">
        <f>ENTE_PUBLICO</f>
        <v>COMITÉ MUNICIPAL DE AGUA POTABLE Y ALCANTARILLADO DE APASEO EL GRANDE,GTO, Gobierno del Estado de Guanajuato</v>
      </c>
      <c r="B2" s="204"/>
      <c r="C2" s="204"/>
      <c r="D2" s="204"/>
      <c r="E2" s="204"/>
      <c r="F2" s="205"/>
    </row>
    <row r="3" spans="1:6" x14ac:dyDescent="0.25">
      <c r="A3" s="209" t="s">
        <v>703</v>
      </c>
      <c r="B3" s="210"/>
      <c r="C3" s="210"/>
      <c r="D3" s="210"/>
      <c r="E3" s="210"/>
      <c r="F3" s="211"/>
    </row>
    <row r="4" spans="1:6" ht="45" x14ac:dyDescent="0.25">
      <c r="A4" s="168"/>
      <c r="B4" s="168" t="s">
        <v>704</v>
      </c>
      <c r="C4" s="168" t="s">
        <v>705</v>
      </c>
      <c r="D4" s="168" t="s">
        <v>706</v>
      </c>
      <c r="E4" s="168" t="s">
        <v>707</v>
      </c>
      <c r="F4" s="168" t="s">
        <v>708</v>
      </c>
    </row>
    <row r="5" spans="1:6" x14ac:dyDescent="0.25">
      <c r="A5" s="74" t="s">
        <v>709</v>
      </c>
      <c r="B5" s="150"/>
      <c r="C5" s="150"/>
      <c r="D5" s="150"/>
      <c r="E5" s="150"/>
      <c r="F5" s="150"/>
    </row>
    <row r="6" spans="1:6" ht="30" x14ac:dyDescent="0.25">
      <c r="A6" s="129" t="s">
        <v>710</v>
      </c>
      <c r="B6" s="145"/>
      <c r="C6" s="145"/>
      <c r="D6" s="145"/>
      <c r="E6" s="145"/>
      <c r="F6" s="145"/>
    </row>
    <row r="7" spans="1:6" ht="30" x14ac:dyDescent="0.25">
      <c r="A7" s="129" t="s">
        <v>711</v>
      </c>
      <c r="B7" s="145"/>
      <c r="C7" s="145"/>
      <c r="D7" s="145"/>
      <c r="E7" s="145"/>
      <c r="F7" s="145"/>
    </row>
    <row r="8" spans="1:6" x14ac:dyDescent="0.25">
      <c r="A8" s="107"/>
      <c r="B8" s="80"/>
      <c r="C8" s="80"/>
      <c r="D8" s="80"/>
      <c r="E8" s="80"/>
      <c r="F8" s="80"/>
    </row>
    <row r="9" spans="1:6" x14ac:dyDescent="0.25">
      <c r="A9" s="74" t="s">
        <v>712</v>
      </c>
      <c r="B9" s="80"/>
      <c r="C9" s="80"/>
      <c r="D9" s="80"/>
      <c r="E9" s="80"/>
      <c r="F9" s="80"/>
    </row>
    <row r="10" spans="1:6" x14ac:dyDescent="0.25">
      <c r="A10" s="129" t="s">
        <v>713</v>
      </c>
      <c r="B10" s="145"/>
      <c r="C10" s="145"/>
      <c r="D10" s="145"/>
      <c r="E10" s="145"/>
      <c r="F10" s="145"/>
    </row>
    <row r="11" spans="1:6" x14ac:dyDescent="0.25">
      <c r="A11" s="105" t="s">
        <v>714</v>
      </c>
      <c r="B11" s="145"/>
      <c r="C11" s="145"/>
      <c r="D11" s="145"/>
      <c r="E11" s="145"/>
      <c r="F11" s="145"/>
    </row>
    <row r="12" spans="1:6" x14ac:dyDescent="0.25">
      <c r="A12" s="105" t="s">
        <v>715</v>
      </c>
      <c r="B12" s="145"/>
      <c r="C12" s="145"/>
      <c r="D12" s="145"/>
      <c r="E12" s="145"/>
      <c r="F12" s="145"/>
    </row>
    <row r="13" spans="1:6" x14ac:dyDescent="0.25">
      <c r="A13" s="105" t="s">
        <v>716</v>
      </c>
      <c r="B13" s="145"/>
      <c r="C13" s="145"/>
      <c r="D13" s="145"/>
      <c r="E13" s="145"/>
      <c r="F13" s="145"/>
    </row>
    <row r="14" spans="1:6" x14ac:dyDescent="0.25">
      <c r="A14" s="129" t="s">
        <v>717</v>
      </c>
      <c r="B14" s="145"/>
      <c r="C14" s="145"/>
      <c r="D14" s="145"/>
      <c r="E14" s="145"/>
      <c r="F14" s="145"/>
    </row>
    <row r="15" spans="1:6" x14ac:dyDescent="0.25">
      <c r="A15" s="105" t="s">
        <v>714</v>
      </c>
      <c r="B15" s="145"/>
      <c r="C15" s="145"/>
      <c r="D15" s="145"/>
      <c r="E15" s="145"/>
      <c r="F15" s="145"/>
    </row>
    <row r="16" spans="1:6" x14ac:dyDescent="0.25">
      <c r="A16" s="105" t="s">
        <v>715</v>
      </c>
      <c r="B16" s="145"/>
      <c r="C16" s="145"/>
      <c r="D16" s="145"/>
      <c r="E16" s="145"/>
      <c r="F16" s="145"/>
    </row>
    <row r="17" spans="1:6" x14ac:dyDescent="0.25">
      <c r="A17" s="105" t="s">
        <v>716</v>
      </c>
      <c r="B17" s="145"/>
      <c r="C17" s="145"/>
      <c r="D17" s="145"/>
      <c r="E17" s="145"/>
      <c r="F17" s="145"/>
    </row>
    <row r="18" spans="1:6" x14ac:dyDescent="0.25">
      <c r="A18" s="129" t="s">
        <v>718</v>
      </c>
      <c r="B18" s="169"/>
      <c r="C18" s="145"/>
      <c r="D18" s="145"/>
      <c r="E18" s="145"/>
      <c r="F18" s="145"/>
    </row>
    <row r="19" spans="1:6" ht="30" x14ac:dyDescent="0.25">
      <c r="A19" s="129" t="s">
        <v>719</v>
      </c>
      <c r="B19" s="145"/>
      <c r="C19" s="145"/>
      <c r="D19" s="145"/>
      <c r="E19" s="145"/>
      <c r="F19" s="145"/>
    </row>
    <row r="20" spans="1:6" ht="30" x14ac:dyDescent="0.25">
      <c r="A20" s="129" t="s">
        <v>720</v>
      </c>
      <c r="B20" s="170"/>
      <c r="C20" s="170"/>
      <c r="D20" s="170"/>
      <c r="E20" s="170"/>
      <c r="F20" s="170"/>
    </row>
    <row r="21" spans="1:6" ht="30" x14ac:dyDescent="0.25">
      <c r="A21" s="129" t="s">
        <v>721</v>
      </c>
      <c r="B21" s="170"/>
      <c r="C21" s="170"/>
      <c r="D21" s="170"/>
      <c r="E21" s="170"/>
      <c r="F21" s="170"/>
    </row>
    <row r="22" spans="1:6" ht="30" x14ac:dyDescent="0.25">
      <c r="A22" s="129" t="s">
        <v>722</v>
      </c>
      <c r="B22" s="170"/>
      <c r="C22" s="170"/>
      <c r="D22" s="170"/>
      <c r="E22" s="170"/>
      <c r="F22" s="170"/>
    </row>
    <row r="23" spans="1:6" ht="30" x14ac:dyDescent="0.25">
      <c r="A23" s="129" t="s">
        <v>723</v>
      </c>
      <c r="B23" s="170"/>
      <c r="C23" s="170"/>
      <c r="D23" s="170"/>
      <c r="E23" s="170"/>
      <c r="F23" s="170"/>
    </row>
    <row r="24" spans="1:6" x14ac:dyDescent="0.25">
      <c r="A24" s="129" t="s">
        <v>724</v>
      </c>
      <c r="B24" s="171"/>
      <c r="C24" s="145"/>
      <c r="D24" s="145"/>
      <c r="E24" s="145"/>
      <c r="F24" s="145"/>
    </row>
    <row r="25" spans="1:6" x14ac:dyDescent="0.25">
      <c r="A25" s="129" t="s">
        <v>725</v>
      </c>
      <c r="B25" s="171"/>
      <c r="C25" s="145"/>
      <c r="D25" s="145"/>
      <c r="E25" s="145"/>
      <c r="F25" s="145"/>
    </row>
    <row r="26" spans="1:6" x14ac:dyDescent="0.25">
      <c r="A26" s="107"/>
      <c r="B26" s="80"/>
      <c r="C26" s="80"/>
      <c r="D26" s="80"/>
      <c r="E26" s="80"/>
      <c r="F26" s="80"/>
    </row>
    <row r="27" spans="1:6" x14ac:dyDescent="0.25">
      <c r="A27" s="74" t="s">
        <v>726</v>
      </c>
      <c r="B27" s="80"/>
      <c r="C27" s="80"/>
      <c r="D27" s="80"/>
      <c r="E27" s="80"/>
      <c r="F27" s="80"/>
    </row>
    <row r="28" spans="1:6" x14ac:dyDescent="0.25">
      <c r="A28" s="129" t="s">
        <v>727</v>
      </c>
      <c r="B28" s="145"/>
      <c r="C28" s="145"/>
      <c r="D28" s="145"/>
      <c r="E28" s="145"/>
      <c r="F28" s="145"/>
    </row>
    <row r="29" spans="1:6" x14ac:dyDescent="0.25">
      <c r="A29" s="107"/>
      <c r="B29" s="80"/>
      <c r="C29" s="80"/>
      <c r="D29" s="80"/>
      <c r="E29" s="80"/>
      <c r="F29" s="80"/>
    </row>
    <row r="30" spans="1:6" x14ac:dyDescent="0.25">
      <c r="A30" s="74" t="s">
        <v>728</v>
      </c>
      <c r="B30" s="80"/>
      <c r="C30" s="80"/>
      <c r="D30" s="80"/>
      <c r="E30" s="80"/>
      <c r="F30" s="80"/>
    </row>
    <row r="31" spans="1:6" x14ac:dyDescent="0.25">
      <c r="A31" s="129" t="s">
        <v>713</v>
      </c>
      <c r="B31" s="145"/>
      <c r="C31" s="145"/>
      <c r="D31" s="145"/>
      <c r="E31" s="145"/>
      <c r="F31" s="145"/>
    </row>
    <row r="32" spans="1:6" x14ac:dyDescent="0.25">
      <c r="A32" s="129" t="s">
        <v>717</v>
      </c>
      <c r="B32" s="145"/>
      <c r="C32" s="145"/>
      <c r="D32" s="145"/>
      <c r="E32" s="145"/>
      <c r="F32" s="145"/>
    </row>
    <row r="33" spans="1:6" x14ac:dyDescent="0.25">
      <c r="A33" s="129" t="s">
        <v>729</v>
      </c>
      <c r="B33" s="145"/>
      <c r="C33" s="145"/>
      <c r="D33" s="145"/>
      <c r="E33" s="145"/>
      <c r="F33" s="145"/>
    </row>
    <row r="34" spans="1:6" x14ac:dyDescent="0.25">
      <c r="A34" s="107"/>
      <c r="B34" s="80"/>
      <c r="C34" s="80"/>
      <c r="D34" s="80"/>
      <c r="E34" s="80"/>
      <c r="F34" s="80"/>
    </row>
    <row r="35" spans="1:6" x14ac:dyDescent="0.25">
      <c r="A35" s="74" t="s">
        <v>730</v>
      </c>
      <c r="B35" s="80"/>
      <c r="C35" s="80"/>
      <c r="D35" s="80"/>
      <c r="E35" s="80"/>
      <c r="F35" s="80"/>
    </row>
    <row r="36" spans="1:6" x14ac:dyDescent="0.25">
      <c r="A36" s="129" t="s">
        <v>731</v>
      </c>
      <c r="B36" s="145"/>
      <c r="C36" s="145"/>
      <c r="D36" s="145"/>
      <c r="E36" s="145"/>
      <c r="F36" s="145"/>
    </row>
    <row r="37" spans="1:6" x14ac:dyDescent="0.25">
      <c r="A37" s="129" t="s">
        <v>732</v>
      </c>
      <c r="B37" s="145"/>
      <c r="C37" s="145"/>
      <c r="D37" s="145"/>
      <c r="E37" s="145"/>
      <c r="F37" s="145"/>
    </row>
    <row r="38" spans="1:6" x14ac:dyDescent="0.25">
      <c r="A38" s="129" t="s">
        <v>733</v>
      </c>
      <c r="B38" s="171"/>
      <c r="C38" s="145"/>
      <c r="D38" s="145"/>
      <c r="E38" s="145"/>
      <c r="F38" s="145"/>
    </row>
    <row r="39" spans="1:6" x14ac:dyDescent="0.25">
      <c r="A39" s="107"/>
      <c r="B39" s="80"/>
      <c r="C39" s="80"/>
      <c r="D39" s="80"/>
      <c r="E39" s="80"/>
      <c r="F39" s="80"/>
    </row>
    <row r="40" spans="1:6" x14ac:dyDescent="0.25">
      <c r="A40" s="74" t="s">
        <v>734</v>
      </c>
      <c r="B40" s="145"/>
      <c r="C40" s="145"/>
      <c r="D40" s="145"/>
      <c r="E40" s="145"/>
      <c r="F40" s="145"/>
    </row>
    <row r="41" spans="1:6" x14ac:dyDescent="0.25">
      <c r="A41" s="107"/>
      <c r="B41" s="80"/>
      <c r="C41" s="80"/>
      <c r="D41" s="80"/>
      <c r="E41" s="80"/>
      <c r="F41" s="80"/>
    </row>
    <row r="42" spans="1:6" x14ac:dyDescent="0.25">
      <c r="A42" s="74" t="s">
        <v>735</v>
      </c>
      <c r="B42" s="80"/>
      <c r="C42" s="80"/>
      <c r="D42" s="80"/>
      <c r="E42" s="80"/>
      <c r="F42" s="80"/>
    </row>
    <row r="43" spans="1:6" ht="30" x14ac:dyDescent="0.25">
      <c r="A43" s="129" t="s">
        <v>736</v>
      </c>
      <c r="B43" s="145"/>
      <c r="C43" s="145"/>
      <c r="D43" s="145"/>
      <c r="E43" s="145"/>
      <c r="F43" s="145"/>
    </row>
    <row r="44" spans="1:6" x14ac:dyDescent="0.25">
      <c r="A44" s="129" t="s">
        <v>737</v>
      </c>
      <c r="B44" s="145"/>
      <c r="C44" s="145"/>
      <c r="D44" s="145"/>
      <c r="E44" s="145"/>
      <c r="F44" s="145"/>
    </row>
    <row r="45" spans="1:6" x14ac:dyDescent="0.25">
      <c r="A45" s="129" t="s">
        <v>738</v>
      </c>
      <c r="B45" s="145"/>
      <c r="C45" s="145"/>
      <c r="D45" s="145"/>
      <c r="E45" s="145"/>
      <c r="F45" s="145"/>
    </row>
    <row r="46" spans="1:6" x14ac:dyDescent="0.25">
      <c r="A46" s="107"/>
      <c r="B46" s="80"/>
      <c r="C46" s="80"/>
      <c r="D46" s="80"/>
      <c r="E46" s="80"/>
      <c r="F46" s="80"/>
    </row>
    <row r="47" spans="1:6" ht="45" x14ac:dyDescent="0.25">
      <c r="A47" s="74" t="s">
        <v>739</v>
      </c>
      <c r="B47" s="80"/>
      <c r="C47" s="80"/>
      <c r="D47" s="80"/>
      <c r="E47" s="80"/>
      <c r="F47" s="80"/>
    </row>
    <row r="48" spans="1:6" x14ac:dyDescent="0.25">
      <c r="A48" s="129" t="s">
        <v>737</v>
      </c>
      <c r="B48" s="170"/>
      <c r="C48" s="170"/>
      <c r="D48" s="170"/>
      <c r="E48" s="170"/>
      <c r="F48" s="170"/>
    </row>
    <row r="49" spans="1:6" x14ac:dyDescent="0.25">
      <c r="A49" s="129" t="s">
        <v>738</v>
      </c>
      <c r="B49" s="170"/>
      <c r="C49" s="170"/>
      <c r="D49" s="170"/>
      <c r="E49" s="170"/>
      <c r="F49" s="170"/>
    </row>
    <row r="50" spans="1:6" x14ac:dyDescent="0.25">
      <c r="A50" s="107"/>
      <c r="B50" s="80"/>
      <c r="C50" s="80"/>
      <c r="D50" s="80"/>
      <c r="E50" s="80"/>
      <c r="F50" s="80"/>
    </row>
    <row r="51" spans="1:6" x14ac:dyDescent="0.25">
      <c r="A51" s="74" t="s">
        <v>740</v>
      </c>
      <c r="B51" s="80"/>
      <c r="C51" s="80"/>
      <c r="D51" s="80"/>
      <c r="E51" s="80"/>
      <c r="F51" s="80"/>
    </row>
    <row r="52" spans="1:6" x14ac:dyDescent="0.25">
      <c r="A52" s="129" t="s">
        <v>737</v>
      </c>
      <c r="B52" s="145"/>
      <c r="C52" s="145"/>
      <c r="D52" s="145"/>
      <c r="E52" s="145"/>
      <c r="F52" s="145"/>
    </row>
    <row r="53" spans="1:6" x14ac:dyDescent="0.25">
      <c r="A53" s="129" t="s">
        <v>738</v>
      </c>
      <c r="B53" s="145"/>
      <c r="C53" s="145"/>
      <c r="D53" s="145"/>
      <c r="E53" s="145"/>
      <c r="F53" s="145"/>
    </row>
    <row r="54" spans="1:6" x14ac:dyDescent="0.25">
      <c r="A54" s="129" t="s">
        <v>741</v>
      </c>
      <c r="B54" s="145"/>
      <c r="C54" s="145"/>
      <c r="D54" s="145"/>
      <c r="E54" s="145"/>
      <c r="F54" s="145"/>
    </row>
    <row r="55" spans="1:6" x14ac:dyDescent="0.25">
      <c r="A55" s="107"/>
      <c r="B55" s="80"/>
      <c r="C55" s="80"/>
      <c r="D55" s="80"/>
      <c r="E55" s="80"/>
      <c r="F55" s="80"/>
    </row>
    <row r="56" spans="1:6" x14ac:dyDescent="0.25">
      <c r="A56" s="74" t="s">
        <v>742</v>
      </c>
      <c r="B56" s="80"/>
      <c r="C56" s="80"/>
      <c r="D56" s="80"/>
      <c r="E56" s="80"/>
      <c r="F56" s="80"/>
    </row>
    <row r="57" spans="1:6" x14ac:dyDescent="0.25">
      <c r="A57" s="129" t="s">
        <v>737</v>
      </c>
      <c r="B57" s="145"/>
      <c r="C57" s="145"/>
      <c r="D57" s="145"/>
      <c r="E57" s="145"/>
      <c r="F57" s="145"/>
    </row>
    <row r="58" spans="1:6" x14ac:dyDescent="0.25">
      <c r="A58" s="129" t="s">
        <v>738</v>
      </c>
      <c r="B58" s="145"/>
      <c r="C58" s="145"/>
      <c r="D58" s="145"/>
      <c r="E58" s="145"/>
      <c r="F58" s="145"/>
    </row>
    <row r="59" spans="1:6" x14ac:dyDescent="0.25">
      <c r="A59" s="107"/>
      <c r="B59" s="80"/>
      <c r="C59" s="80"/>
      <c r="D59" s="80"/>
      <c r="E59" s="80"/>
      <c r="F59" s="80"/>
    </row>
    <row r="60" spans="1:6" x14ac:dyDescent="0.25">
      <c r="A60" s="74" t="s">
        <v>743</v>
      </c>
      <c r="B60" s="80"/>
      <c r="C60" s="80"/>
      <c r="D60" s="80"/>
      <c r="E60" s="80"/>
      <c r="F60" s="80"/>
    </row>
    <row r="61" spans="1:6" x14ac:dyDescent="0.25">
      <c r="A61" s="129" t="s">
        <v>744</v>
      </c>
      <c r="B61" s="145"/>
      <c r="C61" s="145"/>
      <c r="D61" s="145"/>
      <c r="E61" s="145"/>
      <c r="F61" s="145"/>
    </row>
    <row r="62" spans="1:6" x14ac:dyDescent="0.25">
      <c r="A62" s="129" t="s">
        <v>745</v>
      </c>
      <c r="B62" s="171"/>
      <c r="C62" s="145"/>
      <c r="D62" s="145"/>
      <c r="E62" s="145"/>
      <c r="F62" s="145"/>
    </row>
    <row r="63" spans="1:6" x14ac:dyDescent="0.25">
      <c r="A63" s="107"/>
      <c r="B63" s="80"/>
      <c r="C63" s="80"/>
      <c r="D63" s="80"/>
      <c r="E63" s="80"/>
      <c r="F63" s="80"/>
    </row>
    <row r="64" spans="1:6" x14ac:dyDescent="0.25">
      <c r="A64" s="74" t="s">
        <v>746</v>
      </c>
      <c r="B64" s="80"/>
      <c r="C64" s="80"/>
      <c r="D64" s="80"/>
      <c r="E64" s="80"/>
      <c r="F64" s="80"/>
    </row>
    <row r="65" spans="1:6" x14ac:dyDescent="0.25">
      <c r="A65" s="129" t="s">
        <v>747</v>
      </c>
      <c r="B65" s="145"/>
      <c r="C65" s="145"/>
      <c r="D65" s="145"/>
      <c r="E65" s="145"/>
      <c r="F65" s="145"/>
    </row>
    <row r="66" spans="1:6" x14ac:dyDescent="0.25">
      <c r="A66" s="129" t="s">
        <v>748</v>
      </c>
      <c r="B66" s="145"/>
      <c r="C66" s="145"/>
      <c r="D66" s="145"/>
      <c r="E66" s="145"/>
      <c r="F66" s="145"/>
    </row>
    <row r="67" spans="1:6" x14ac:dyDescent="0.25">
      <c r="A67" s="172"/>
      <c r="B67" s="82"/>
      <c r="C67" s="82"/>
      <c r="D67" s="82"/>
      <c r="E67" s="82"/>
      <c r="F67" s="8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14:F14 B10:F10" xr:uid="{00000000-0002-0000-0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0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0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0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0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0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0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0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0D00-00000A000000}"/>
    <dataValidation allowBlank="1" showInputMessage="1" showErrorMessage="1" prompt="Definir si el tipo de sistema es un plan de beneficio definido, de contribución definida o mixto." sqref="B7:F7" xr:uid="{00000000-0002-0000-0D00-00000B000000}"/>
    <dataValidation type="whole" allowBlank="1" showInputMessage="1" showErrorMessage="1" sqref="B11:F13 B15:F17" xr:uid="{00000000-0002-0000-0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0D00-00000D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45"/>
  <sheetViews>
    <sheetView topLeftCell="A6" zoomScale="60" zoomScaleNormal="60" workbookViewId="0">
      <selection activeCell="C64" sqref="C64"/>
    </sheetView>
  </sheetViews>
  <sheetFormatPr baseColWidth="10" defaultRowHeight="15" x14ac:dyDescent="0.25"/>
  <cols>
    <col min="1" max="1" width="56.85546875" style="1" bestFit="1" customWidth="1"/>
    <col min="2" max="2" width="20.85546875" style="1" customWidth="1"/>
    <col min="3" max="3" width="20.140625" style="1" customWidth="1"/>
    <col min="4" max="4" width="18.42578125" style="1" customWidth="1"/>
    <col min="5" max="5" width="20.42578125" style="1" customWidth="1"/>
    <col min="6" max="6" width="19.140625" style="1" customWidth="1"/>
    <col min="7" max="7" width="16" style="1" customWidth="1"/>
    <col min="8" max="8" width="32.28515625" style="1" customWidth="1"/>
    <col min="9" max="16384" width="11.42578125" style="1"/>
  </cols>
  <sheetData>
    <row r="1" spans="1:8" ht="26.25" x14ac:dyDescent="0.25">
      <c r="A1" s="201" t="s">
        <v>123</v>
      </c>
      <c r="B1" s="201"/>
      <c r="C1" s="201"/>
      <c r="D1" s="201"/>
      <c r="E1" s="201"/>
      <c r="F1" s="201"/>
      <c r="G1" s="201"/>
      <c r="H1" s="201"/>
    </row>
    <row r="2" spans="1:8" x14ac:dyDescent="0.25">
      <c r="A2" s="191" t="str">
        <f>ENTE_PUBLICO_A</f>
        <v>COMITÉ MUNICIPAL DE AGUA POTABLE Y ALCANTARILLADO DE APASEO EL GRANDE,GTO, Gobierno del Estado de Guanajuato (a)</v>
      </c>
      <c r="B2" s="192"/>
      <c r="C2" s="192"/>
      <c r="D2" s="192"/>
      <c r="E2" s="192"/>
      <c r="F2" s="192"/>
      <c r="G2" s="192"/>
      <c r="H2" s="193"/>
    </row>
    <row r="3" spans="1:8" x14ac:dyDescent="0.25">
      <c r="A3" s="194" t="s">
        <v>124</v>
      </c>
      <c r="B3" s="195"/>
      <c r="C3" s="195"/>
      <c r="D3" s="195"/>
      <c r="E3" s="195"/>
      <c r="F3" s="195"/>
      <c r="G3" s="195"/>
      <c r="H3" s="196"/>
    </row>
    <row r="4" spans="1:8" x14ac:dyDescent="0.25">
      <c r="A4" s="194" t="s">
        <v>749</v>
      </c>
      <c r="B4" s="195"/>
      <c r="C4" s="195"/>
      <c r="D4" s="195"/>
      <c r="E4" s="195"/>
      <c r="F4" s="195"/>
      <c r="G4" s="195"/>
      <c r="H4" s="196"/>
    </row>
    <row r="5" spans="1:8" x14ac:dyDescent="0.25">
      <c r="A5" s="197" t="s">
        <v>3</v>
      </c>
      <c r="B5" s="198"/>
      <c r="C5" s="198"/>
      <c r="D5" s="198"/>
      <c r="E5" s="198"/>
      <c r="F5" s="198"/>
      <c r="G5" s="198"/>
      <c r="H5" s="199"/>
    </row>
    <row r="6" spans="1:8" ht="45" x14ac:dyDescent="0.25">
      <c r="A6" s="30" t="s">
        <v>125</v>
      </c>
      <c r="B6" s="31" t="str">
        <f>ULTIMO_SALDO</f>
        <v>Saldo al 31 de diciembre de 2019 (d)</v>
      </c>
      <c r="C6" s="30" t="s">
        <v>126</v>
      </c>
      <c r="D6" s="30" t="s">
        <v>127</v>
      </c>
      <c r="E6" s="30" t="s">
        <v>128</v>
      </c>
      <c r="F6" s="30" t="s">
        <v>129</v>
      </c>
      <c r="G6" s="30" t="s">
        <v>130</v>
      </c>
      <c r="H6" s="32" t="s">
        <v>131</v>
      </c>
    </row>
    <row r="7" spans="1:8" x14ac:dyDescent="0.25">
      <c r="A7" s="33"/>
      <c r="B7" s="33"/>
      <c r="C7" s="33"/>
      <c r="D7" s="33"/>
      <c r="E7" s="33"/>
      <c r="F7" s="33"/>
      <c r="G7" s="33"/>
      <c r="H7" s="33"/>
    </row>
    <row r="8" spans="1:8" x14ac:dyDescent="0.25">
      <c r="A8" s="34" t="s">
        <v>132</v>
      </c>
      <c r="B8" s="35">
        <f>B9+B13</f>
        <v>0</v>
      </c>
      <c r="C8" s="35">
        <f t="shared" ref="C8:H8" si="0">C9+C13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</row>
    <row r="9" spans="1:8" x14ac:dyDescent="0.25">
      <c r="A9" s="36" t="s">
        <v>133</v>
      </c>
      <c r="B9" s="37">
        <f>SUM(B10:B12)</f>
        <v>0</v>
      </c>
      <c r="C9" s="37">
        <f t="shared" ref="C9:H9" si="1">SUM(C10:C12)</f>
        <v>0</v>
      </c>
      <c r="D9" s="37">
        <f t="shared" si="1"/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</row>
    <row r="10" spans="1:8" x14ac:dyDescent="0.25">
      <c r="A10" s="38" t="s">
        <v>134</v>
      </c>
      <c r="B10" s="37"/>
      <c r="C10" s="37"/>
      <c r="D10" s="37"/>
      <c r="E10" s="37"/>
      <c r="F10" s="37"/>
      <c r="G10" s="37"/>
      <c r="H10" s="37"/>
    </row>
    <row r="11" spans="1:8" x14ac:dyDescent="0.25">
      <c r="A11" s="38" t="s">
        <v>135</v>
      </c>
      <c r="B11" s="37"/>
      <c r="C11" s="37"/>
      <c r="D11" s="37"/>
      <c r="E11" s="37"/>
      <c r="F11" s="37"/>
      <c r="G11" s="37"/>
      <c r="H11" s="37"/>
    </row>
    <row r="12" spans="1:8" x14ac:dyDescent="0.25">
      <c r="A12" s="38" t="s">
        <v>136</v>
      </c>
      <c r="B12" s="37"/>
      <c r="C12" s="37"/>
      <c r="D12" s="37"/>
      <c r="E12" s="37"/>
      <c r="F12" s="37"/>
      <c r="G12" s="37"/>
      <c r="H12" s="37"/>
    </row>
    <row r="13" spans="1:8" x14ac:dyDescent="0.25">
      <c r="A13" s="36" t="s">
        <v>137</v>
      </c>
      <c r="B13" s="37">
        <f>SUM(B14:B16)</f>
        <v>0</v>
      </c>
      <c r="C13" s="37">
        <f t="shared" ref="C13:H13" si="2">SUM(C14:C16)</f>
        <v>0</v>
      </c>
      <c r="D13" s="37">
        <f t="shared" si="2"/>
        <v>0</v>
      </c>
      <c r="E13" s="37">
        <f t="shared" si="2"/>
        <v>0</v>
      </c>
      <c r="F13" s="37">
        <f t="shared" si="2"/>
        <v>0</v>
      </c>
      <c r="G13" s="37">
        <f t="shared" si="2"/>
        <v>0</v>
      </c>
      <c r="H13" s="37">
        <f t="shared" si="2"/>
        <v>0</v>
      </c>
    </row>
    <row r="14" spans="1:8" x14ac:dyDescent="0.25">
      <c r="A14" s="38" t="s">
        <v>138</v>
      </c>
      <c r="B14" s="37"/>
      <c r="C14" s="37"/>
      <c r="D14" s="37"/>
      <c r="E14" s="37"/>
      <c r="F14" s="37"/>
      <c r="G14" s="37"/>
      <c r="H14" s="37"/>
    </row>
    <row r="15" spans="1:8" x14ac:dyDescent="0.25">
      <c r="A15" s="38" t="s">
        <v>139</v>
      </c>
      <c r="B15" s="37"/>
      <c r="C15" s="37"/>
      <c r="D15" s="37"/>
      <c r="E15" s="37"/>
      <c r="F15" s="37"/>
      <c r="G15" s="37"/>
      <c r="H15" s="37"/>
    </row>
    <row r="16" spans="1:8" x14ac:dyDescent="0.25">
      <c r="A16" s="38" t="s">
        <v>140</v>
      </c>
      <c r="B16" s="37"/>
      <c r="C16" s="37"/>
      <c r="D16" s="37"/>
      <c r="E16" s="37"/>
      <c r="F16" s="37"/>
      <c r="G16" s="37"/>
      <c r="H16" s="37"/>
    </row>
    <row r="17" spans="1:8" x14ac:dyDescent="0.25">
      <c r="A17" s="39"/>
      <c r="B17" s="33"/>
      <c r="C17" s="33"/>
      <c r="D17" s="33"/>
      <c r="E17" s="33"/>
      <c r="F17" s="33"/>
      <c r="G17" s="33"/>
      <c r="H17" s="33"/>
    </row>
    <row r="18" spans="1:8" x14ac:dyDescent="0.25">
      <c r="A18" s="34" t="s">
        <v>141</v>
      </c>
      <c r="B18" s="177">
        <v>832282.56</v>
      </c>
      <c r="C18" s="175"/>
      <c r="D18" s="175"/>
      <c r="E18" s="175"/>
      <c r="F18" s="178">
        <v>3088455.54</v>
      </c>
      <c r="G18" s="40"/>
      <c r="H18" s="40"/>
    </row>
    <row r="19" spans="1:8" x14ac:dyDescent="0.25">
      <c r="A19" s="39"/>
      <c r="B19" s="176"/>
      <c r="C19" s="176"/>
      <c r="D19" s="176"/>
      <c r="E19" s="176"/>
      <c r="F19" s="176"/>
      <c r="G19" s="33"/>
      <c r="H19" s="33"/>
    </row>
    <row r="20" spans="1:8" x14ac:dyDescent="0.25">
      <c r="A20" s="34" t="s">
        <v>142</v>
      </c>
      <c r="B20" s="41">
        <f>B8+B18</f>
        <v>832282.56</v>
      </c>
      <c r="C20" s="35">
        <f t="shared" ref="C20:H20" si="3">C8+C18</f>
        <v>0</v>
      </c>
      <c r="D20" s="35">
        <f t="shared" si="3"/>
        <v>0</v>
      </c>
      <c r="E20" s="35">
        <f t="shared" si="3"/>
        <v>0</v>
      </c>
      <c r="F20" s="41">
        <f t="shared" si="3"/>
        <v>3088455.54</v>
      </c>
      <c r="G20" s="35">
        <f t="shared" si="3"/>
        <v>0</v>
      </c>
      <c r="H20" s="35">
        <f t="shared" si="3"/>
        <v>0</v>
      </c>
    </row>
    <row r="21" spans="1:8" x14ac:dyDescent="0.25">
      <c r="A21" s="39"/>
      <c r="B21" s="39"/>
      <c r="C21" s="39"/>
      <c r="D21" s="39"/>
      <c r="E21" s="39"/>
      <c r="F21" s="39"/>
      <c r="G21" s="39"/>
      <c r="H21" s="39"/>
    </row>
    <row r="22" spans="1:8" ht="17.25" x14ac:dyDescent="0.25">
      <c r="A22" s="34" t="s">
        <v>143</v>
      </c>
      <c r="B22" s="35">
        <f>SUM(B23:DEUDA_CONT_FIN_01)</f>
        <v>0</v>
      </c>
      <c r="C22" s="35">
        <f>SUM(C23:DEUDA_CONT_FIN_02)</f>
        <v>0</v>
      </c>
      <c r="D22" s="35">
        <f>SUM(D23:DEUDA_CONT_FIN_03)</f>
        <v>0</v>
      </c>
      <c r="E22" s="35">
        <f>SUM(E23:DEUDA_CONT_FIN_04)</f>
        <v>0</v>
      </c>
      <c r="F22" s="35">
        <f>SUM(F23:DEUDA_CONT_FIN_05)</f>
        <v>0</v>
      </c>
      <c r="G22" s="35">
        <f>SUM(G23:DEUDA_CONT_FIN_06)</f>
        <v>0</v>
      </c>
      <c r="H22" s="35">
        <f>SUM(H23:DEUDA_CONT_FIN_07)</f>
        <v>0</v>
      </c>
    </row>
    <row r="23" spans="1:8" x14ac:dyDescent="0.25">
      <c r="A23" s="42" t="s">
        <v>144</v>
      </c>
      <c r="B23" s="37"/>
      <c r="C23" s="37"/>
      <c r="D23" s="37"/>
      <c r="E23" s="37"/>
      <c r="F23" s="37"/>
      <c r="G23" s="37"/>
      <c r="H23" s="37"/>
    </row>
    <row r="24" spans="1:8" x14ac:dyDescent="0.25">
      <c r="A24" s="42" t="s">
        <v>145</v>
      </c>
      <c r="B24" s="37"/>
      <c r="C24" s="37"/>
      <c r="D24" s="37"/>
      <c r="E24" s="37"/>
      <c r="F24" s="37"/>
      <c r="G24" s="37"/>
      <c r="H24" s="37"/>
    </row>
    <row r="25" spans="1:8" x14ac:dyDescent="0.25">
      <c r="A25" s="42" t="s">
        <v>146</v>
      </c>
      <c r="B25" s="37"/>
      <c r="C25" s="37"/>
      <c r="D25" s="37"/>
      <c r="E25" s="37"/>
      <c r="F25" s="37"/>
      <c r="G25" s="37"/>
      <c r="H25" s="37"/>
    </row>
    <row r="26" spans="1:8" x14ac:dyDescent="0.25">
      <c r="A26" s="43" t="s">
        <v>147</v>
      </c>
      <c r="B26" s="39"/>
      <c r="C26" s="39"/>
      <c r="D26" s="39"/>
      <c r="E26" s="39"/>
      <c r="F26" s="39"/>
      <c r="G26" s="39"/>
      <c r="H26" s="39"/>
    </row>
    <row r="27" spans="1:8" ht="17.25" x14ac:dyDescent="0.25">
      <c r="A27" s="34" t="s">
        <v>148</v>
      </c>
      <c r="B27" s="35">
        <f>SUM(B28:VALOR_INS_BCC_FIN_01)</f>
        <v>0</v>
      </c>
      <c r="C27" s="35">
        <f>SUM(C28:VALOR_INS_BCC_FIN_02)</f>
        <v>0</v>
      </c>
      <c r="D27" s="35">
        <f>SUM(D28:VALOR_INS_BCC_FIN_03)</f>
        <v>0</v>
      </c>
      <c r="E27" s="35">
        <f>SUM(E28:VALOR_INS_BCC_FIN_04)</f>
        <v>0</v>
      </c>
      <c r="F27" s="35">
        <f>SUM(F28:VALOR_INS_BCC_FIN_05)</f>
        <v>0</v>
      </c>
      <c r="G27" s="35">
        <f>SUM(G28:VALOR_INS_BCC_FIN_06)</f>
        <v>0</v>
      </c>
      <c r="H27" s="35">
        <f>SUM(H28:VALOR_INS_BCC_FIN_07)</f>
        <v>0</v>
      </c>
    </row>
    <row r="28" spans="1:8" x14ac:dyDescent="0.25">
      <c r="A28" s="42" t="s">
        <v>149</v>
      </c>
      <c r="B28" s="37"/>
      <c r="C28" s="37"/>
      <c r="D28" s="37"/>
      <c r="E28" s="37"/>
      <c r="F28" s="37"/>
      <c r="G28" s="37"/>
      <c r="H28" s="37"/>
    </row>
    <row r="29" spans="1:8" x14ac:dyDescent="0.25">
      <c r="A29" s="42" t="s">
        <v>150</v>
      </c>
      <c r="B29" s="37"/>
      <c r="C29" s="37"/>
      <c r="D29" s="37"/>
      <c r="E29" s="37"/>
      <c r="F29" s="37"/>
      <c r="G29" s="37"/>
      <c r="H29" s="37"/>
    </row>
    <row r="30" spans="1:8" x14ac:dyDescent="0.25">
      <c r="A30" s="42" t="s">
        <v>151</v>
      </c>
      <c r="B30" s="37"/>
      <c r="C30" s="37"/>
      <c r="D30" s="37"/>
      <c r="E30" s="37"/>
      <c r="F30" s="37"/>
      <c r="G30" s="37"/>
      <c r="H30" s="37"/>
    </row>
    <row r="31" spans="1:8" x14ac:dyDescent="0.25">
      <c r="A31" s="44" t="s">
        <v>147</v>
      </c>
      <c r="B31" s="45"/>
      <c r="C31" s="45"/>
      <c r="D31" s="45"/>
      <c r="E31" s="45"/>
      <c r="F31" s="45"/>
      <c r="G31" s="45"/>
      <c r="H31" s="45"/>
    </row>
    <row r="32" spans="1:8" x14ac:dyDescent="0.25">
      <c r="A32" s="46"/>
      <c r="B32" s="47"/>
      <c r="C32" s="47"/>
      <c r="D32" s="47"/>
      <c r="E32" s="47"/>
      <c r="F32" s="47"/>
      <c r="G32" s="47"/>
      <c r="H32" s="47"/>
    </row>
    <row r="33" spans="1:8" x14ac:dyDescent="0.25">
      <c r="A33" s="200" t="s">
        <v>152</v>
      </c>
      <c r="B33" s="200"/>
      <c r="C33" s="200"/>
      <c r="D33" s="200"/>
      <c r="E33" s="200"/>
      <c r="F33" s="200"/>
      <c r="G33" s="200"/>
      <c r="H33" s="200"/>
    </row>
    <row r="34" spans="1:8" x14ac:dyDescent="0.25">
      <c r="A34" s="200"/>
      <c r="B34" s="200"/>
      <c r="C34" s="200"/>
      <c r="D34" s="200"/>
      <c r="E34" s="200"/>
      <c r="F34" s="200"/>
      <c r="G34" s="200"/>
      <c r="H34" s="200"/>
    </row>
    <row r="35" spans="1:8" x14ac:dyDescent="0.25">
      <c r="A35" s="200"/>
      <c r="B35" s="200"/>
      <c r="C35" s="200"/>
      <c r="D35" s="200"/>
      <c r="E35" s="200"/>
      <c r="F35" s="200"/>
      <c r="G35" s="200"/>
      <c r="H35" s="200"/>
    </row>
    <row r="36" spans="1:8" x14ac:dyDescent="0.25">
      <c r="A36" s="200"/>
      <c r="B36" s="200"/>
      <c r="C36" s="200"/>
      <c r="D36" s="200"/>
      <c r="E36" s="200"/>
      <c r="F36" s="200"/>
      <c r="G36" s="200"/>
      <c r="H36" s="200"/>
    </row>
    <row r="37" spans="1:8" x14ac:dyDescent="0.25">
      <c r="A37" s="200"/>
      <c r="B37" s="200"/>
      <c r="C37" s="200"/>
      <c r="D37" s="200"/>
      <c r="E37" s="200"/>
      <c r="F37" s="200"/>
      <c r="G37" s="200"/>
      <c r="H37" s="200"/>
    </row>
    <row r="38" spans="1:8" x14ac:dyDescent="0.25">
      <c r="A38" s="46"/>
      <c r="B38" s="47"/>
      <c r="C38" s="47"/>
      <c r="D38" s="47"/>
      <c r="E38" s="47"/>
      <c r="F38" s="47"/>
      <c r="G38" s="47"/>
      <c r="H38" s="47"/>
    </row>
    <row r="39" spans="1:8" ht="30" x14ac:dyDescent="0.25">
      <c r="A39" s="30" t="s">
        <v>153</v>
      </c>
      <c r="B39" s="30" t="s">
        <v>154</v>
      </c>
      <c r="C39" s="30" t="s">
        <v>155</v>
      </c>
      <c r="D39" s="30" t="s">
        <v>156</v>
      </c>
      <c r="E39" s="30" t="s">
        <v>157</v>
      </c>
      <c r="F39" s="32" t="s">
        <v>158</v>
      </c>
      <c r="G39" s="47"/>
      <c r="H39" s="47"/>
    </row>
    <row r="40" spans="1:8" x14ac:dyDescent="0.25">
      <c r="A40" s="39"/>
      <c r="B40" s="33"/>
      <c r="C40" s="33"/>
      <c r="D40" s="33"/>
      <c r="E40" s="33"/>
      <c r="F40" s="33"/>
      <c r="G40" s="47"/>
      <c r="H40" s="47"/>
    </row>
    <row r="41" spans="1:8" x14ac:dyDescent="0.25">
      <c r="A41" s="34" t="s">
        <v>159</v>
      </c>
      <c r="B41" s="35">
        <f>SUM(B42:OB_CORTO_PLAZO_FIN_01)</f>
        <v>0</v>
      </c>
      <c r="C41" s="35">
        <f>SUM(C42:OB_CORTO_PLAZO_FIN_02)</f>
        <v>0</v>
      </c>
      <c r="D41" s="35">
        <f>SUM(D42:OB_CORTO_PLAZO_FIN_03)</f>
        <v>0</v>
      </c>
      <c r="E41" s="35">
        <f>SUM(E42:OB_CORTO_PLAZO_FIN_04)</f>
        <v>0</v>
      </c>
      <c r="F41" s="35">
        <f>SUM(F42:OB_CORTO_PLAZO_FIN_05)</f>
        <v>0</v>
      </c>
      <c r="G41" s="47"/>
      <c r="H41" s="47"/>
    </row>
    <row r="42" spans="1:8" x14ac:dyDescent="0.25">
      <c r="A42" s="42" t="s">
        <v>160</v>
      </c>
      <c r="B42" s="37"/>
      <c r="C42" s="37"/>
      <c r="D42" s="37"/>
      <c r="E42" s="37"/>
      <c r="F42" s="37"/>
      <c r="G42" s="48"/>
      <c r="H42" s="48"/>
    </row>
    <row r="43" spans="1:8" x14ac:dyDescent="0.25">
      <c r="A43" s="42" t="s">
        <v>161</v>
      </c>
      <c r="B43" s="37"/>
      <c r="C43" s="37"/>
      <c r="D43" s="37"/>
      <c r="E43" s="37"/>
      <c r="F43" s="37"/>
      <c r="G43" s="48"/>
      <c r="H43" s="48"/>
    </row>
    <row r="44" spans="1:8" x14ac:dyDescent="0.25">
      <c r="A44" s="42" t="s">
        <v>162</v>
      </c>
      <c r="B44" s="37"/>
      <c r="C44" s="37"/>
      <c r="D44" s="37"/>
      <c r="E44" s="37"/>
      <c r="F44" s="37"/>
      <c r="G44" s="48"/>
      <c r="H44" s="48"/>
    </row>
    <row r="45" spans="1:8" x14ac:dyDescent="0.25">
      <c r="A45" s="49" t="s">
        <v>147</v>
      </c>
      <c r="B45" s="45"/>
      <c r="C45" s="45"/>
      <c r="D45" s="45"/>
      <c r="E45" s="45"/>
      <c r="F45" s="45"/>
      <c r="G45" s="47"/>
      <c r="H45" s="4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100-000000000000}"/>
    <dataValidation type="decimal" allowBlank="1" showInputMessage="1" showErrorMessage="1" sqref="B8:H30" xr:uid="{00000000-0002-0000-0100-000001000000}">
      <formula1>-1.79769313486231E+100</formula1>
      <formula2>1.79769313486231E+100</formula2>
    </dataValidation>
  </dataValidations>
  <pageMargins left="0.7" right="0.7" top="0.75" bottom="0.75" header="0.3" footer="0.3"/>
  <pageSetup paperSize="11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L21"/>
  <sheetViews>
    <sheetView workbookViewId="0">
      <selection activeCell="C27" sqref="C27"/>
    </sheetView>
  </sheetViews>
  <sheetFormatPr baseColWidth="10" defaultRowHeight="15" x14ac:dyDescent="0.25"/>
  <cols>
    <col min="1" max="1" width="60.140625" style="1" bestFit="1" customWidth="1"/>
    <col min="2" max="2" width="19.7109375" style="1" customWidth="1"/>
    <col min="3" max="3" width="21.42578125" style="1" customWidth="1"/>
    <col min="4" max="4" width="18.7109375" style="1" customWidth="1"/>
    <col min="5" max="5" width="21.85546875" style="1" customWidth="1"/>
    <col min="6" max="6" width="11.42578125" style="1"/>
    <col min="7" max="7" width="24.7109375" style="1" customWidth="1"/>
    <col min="8" max="8" width="22" style="1" customWidth="1"/>
    <col min="9" max="9" width="16.5703125" style="1" customWidth="1"/>
    <col min="10" max="10" width="18" style="1" customWidth="1"/>
    <col min="11" max="11" width="22" style="1" customWidth="1"/>
    <col min="12" max="16384" width="11.42578125" style="1"/>
  </cols>
  <sheetData>
    <row r="1" spans="1:12" s="51" customFormat="1" ht="37.5" customHeight="1" x14ac:dyDescent="0.25">
      <c r="A1" s="190" t="s">
        <v>163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50"/>
    </row>
    <row r="2" spans="1:12" x14ac:dyDescent="0.25">
      <c r="A2" s="191" t="str">
        <f>ENTE_PUBLICO_A</f>
        <v>COMITÉ MUNICIPAL DE AGUA POTABLE Y ALCANTARILLADO DE APASEO EL GRANDE,GTO, Gobierno del Estado de Guanajuato (a)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2" x14ac:dyDescent="0.25">
      <c r="A3" s="194" t="s">
        <v>164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2" x14ac:dyDescent="0.25">
      <c r="A4" s="194" t="s">
        <v>749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2" x14ac:dyDescent="0.25">
      <c r="A5" s="194" t="s">
        <v>3</v>
      </c>
      <c r="B5" s="195"/>
      <c r="C5" s="195"/>
      <c r="D5" s="195"/>
      <c r="E5" s="195"/>
      <c r="F5" s="195"/>
      <c r="G5" s="195"/>
      <c r="H5" s="195"/>
      <c r="I5" s="195"/>
      <c r="J5" s="195"/>
      <c r="K5" s="196"/>
    </row>
    <row r="6" spans="1:12" ht="75" x14ac:dyDescent="0.25">
      <c r="A6" s="32" t="s">
        <v>165</v>
      </c>
      <c r="B6" s="32" t="s">
        <v>166</v>
      </c>
      <c r="C6" s="32" t="s">
        <v>167</v>
      </c>
      <c r="D6" s="32" t="s">
        <v>168</v>
      </c>
      <c r="E6" s="32" t="s">
        <v>169</v>
      </c>
      <c r="F6" s="32" t="s">
        <v>170</v>
      </c>
      <c r="G6" s="32" t="s">
        <v>171</v>
      </c>
      <c r="H6" s="32" t="s">
        <v>172</v>
      </c>
      <c r="I6" s="4" t="str">
        <f>MONTO1</f>
        <v>Monto pagado de la inversión al 30 de marzo de 2020 (k)</v>
      </c>
      <c r="J6" s="4" t="str">
        <f>MONTO2</f>
        <v>Monto pagado de la inversión actualizado al 30 de marzo de 2020 (l)</v>
      </c>
      <c r="K6" s="4" t="str">
        <f>SALDO_PENDIENTE</f>
        <v>Saldo pendiente por pagar de la inversión al 30 de marzo de 2020 (m = g – l)</v>
      </c>
    </row>
    <row r="7" spans="1:12" x14ac:dyDescent="0.25">
      <c r="A7" s="52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2" x14ac:dyDescent="0.25">
      <c r="A8" s="53" t="s">
        <v>173</v>
      </c>
      <c r="B8" s="54"/>
      <c r="C8" s="54"/>
      <c r="D8" s="54"/>
      <c r="E8" s="35">
        <f>SUM(E9:APP_FIN_04)</f>
        <v>0</v>
      </c>
      <c r="F8" s="54"/>
      <c r="G8" s="35">
        <f>SUM(G9:APP_FIN_06)</f>
        <v>0</v>
      </c>
      <c r="H8" s="35">
        <f>SUM(H9:APP_FIN_07)</f>
        <v>0</v>
      </c>
      <c r="I8" s="35">
        <f>SUM(I9:APP_FIN_08)</f>
        <v>0</v>
      </c>
      <c r="J8" s="35">
        <f>SUM(J9:APP_FIN_09)</f>
        <v>0</v>
      </c>
      <c r="K8" s="35">
        <f>SUM(K9:APP_FIN_10)</f>
        <v>0</v>
      </c>
    </row>
    <row r="9" spans="1:12" s="57" customFormat="1" x14ac:dyDescent="0.25">
      <c r="A9" s="55" t="s">
        <v>174</v>
      </c>
      <c r="B9" s="56"/>
      <c r="C9" s="56"/>
      <c r="D9" s="56"/>
      <c r="E9" s="37"/>
      <c r="F9" s="37"/>
      <c r="G9" s="37"/>
      <c r="H9" s="37"/>
      <c r="I9" s="37"/>
      <c r="J9" s="37"/>
      <c r="K9" s="37">
        <f>E9-J9</f>
        <v>0</v>
      </c>
    </row>
    <row r="10" spans="1:12" s="57" customFormat="1" x14ac:dyDescent="0.25">
      <c r="A10" s="55" t="s">
        <v>175</v>
      </c>
      <c r="B10" s="56"/>
      <c r="C10" s="56"/>
      <c r="D10" s="56"/>
      <c r="E10" s="37"/>
      <c r="F10" s="37"/>
      <c r="G10" s="37"/>
      <c r="H10" s="37"/>
      <c r="I10" s="37"/>
      <c r="J10" s="37"/>
      <c r="K10" s="37">
        <f>E10-J10</f>
        <v>0</v>
      </c>
    </row>
    <row r="11" spans="1:12" s="57" customFormat="1" x14ac:dyDescent="0.25">
      <c r="A11" s="55" t="s">
        <v>176</v>
      </c>
      <c r="B11" s="56"/>
      <c r="C11" s="56"/>
      <c r="D11" s="56"/>
      <c r="E11" s="37"/>
      <c r="F11" s="37"/>
      <c r="G11" s="37"/>
      <c r="H11" s="37"/>
      <c r="I11" s="37"/>
      <c r="J11" s="37"/>
      <c r="K11" s="37">
        <f>E11-J11</f>
        <v>0</v>
      </c>
    </row>
    <row r="12" spans="1:12" s="57" customFormat="1" x14ac:dyDescent="0.25">
      <c r="A12" s="55" t="s">
        <v>177</v>
      </c>
      <c r="B12" s="56"/>
      <c r="C12" s="56"/>
      <c r="D12" s="56"/>
      <c r="E12" s="37"/>
      <c r="F12" s="37"/>
      <c r="G12" s="37"/>
      <c r="H12" s="37"/>
      <c r="I12" s="37"/>
      <c r="J12" s="37"/>
      <c r="K12" s="37">
        <f>E12-J12</f>
        <v>0</v>
      </c>
    </row>
    <row r="13" spans="1:12" x14ac:dyDescent="0.25">
      <c r="A13" s="58" t="s">
        <v>147</v>
      </c>
      <c r="B13" s="59"/>
      <c r="C13" s="59"/>
      <c r="D13" s="59"/>
      <c r="E13" s="39"/>
      <c r="F13" s="39"/>
      <c r="G13" s="39"/>
      <c r="H13" s="39"/>
      <c r="I13" s="39"/>
      <c r="J13" s="39"/>
      <c r="K13" s="39"/>
    </row>
    <row r="14" spans="1:12" x14ac:dyDescent="0.25">
      <c r="A14" s="53" t="s">
        <v>178</v>
      </c>
      <c r="B14" s="54"/>
      <c r="C14" s="54"/>
      <c r="D14" s="54"/>
      <c r="E14" s="35">
        <f>SUM(E15:OTROS_FIN_04)</f>
        <v>0</v>
      </c>
      <c r="F14" s="54"/>
      <c r="G14" s="35">
        <f>SUM(G15:OTROS_FIN_06)</f>
        <v>0</v>
      </c>
      <c r="H14" s="35">
        <f>SUM(H15:OTROS_FIN_07)</f>
        <v>0</v>
      </c>
      <c r="I14" s="35">
        <f>SUM(I15:OTROS_FIN_08)</f>
        <v>0</v>
      </c>
      <c r="J14" s="35">
        <f>SUM(J15:OTROS_FIN_09)</f>
        <v>0</v>
      </c>
      <c r="K14" s="35">
        <f>SUM(K15:OTROS_FIN_10)</f>
        <v>0</v>
      </c>
    </row>
    <row r="15" spans="1:12" s="57" customFormat="1" x14ac:dyDescent="0.25">
      <c r="A15" s="55" t="s">
        <v>179</v>
      </c>
      <c r="B15" s="56"/>
      <c r="C15" s="56"/>
      <c r="D15" s="56"/>
      <c r="E15" s="37"/>
      <c r="F15" s="37"/>
      <c r="G15" s="37"/>
      <c r="H15" s="37"/>
      <c r="I15" s="37"/>
      <c r="J15" s="37"/>
      <c r="K15" s="37">
        <f>E15-J15</f>
        <v>0</v>
      </c>
    </row>
    <row r="16" spans="1:12" s="57" customFormat="1" x14ac:dyDescent="0.25">
      <c r="A16" s="55" t="s">
        <v>180</v>
      </c>
      <c r="B16" s="56"/>
      <c r="C16" s="56"/>
      <c r="D16" s="56"/>
      <c r="E16" s="37"/>
      <c r="F16" s="37"/>
      <c r="G16" s="37"/>
      <c r="H16" s="37"/>
      <c r="I16" s="37"/>
      <c r="J16" s="37"/>
      <c r="K16" s="37">
        <f>E16-J16</f>
        <v>0</v>
      </c>
    </row>
    <row r="17" spans="1:11" s="57" customFormat="1" x14ac:dyDescent="0.25">
      <c r="A17" s="55" t="s">
        <v>181</v>
      </c>
      <c r="B17" s="56"/>
      <c r="C17" s="56"/>
      <c r="D17" s="56"/>
      <c r="E17" s="37"/>
      <c r="F17" s="37"/>
      <c r="G17" s="37"/>
      <c r="H17" s="37"/>
      <c r="I17" s="37"/>
      <c r="J17" s="37"/>
      <c r="K17" s="37">
        <f>E17-J17</f>
        <v>0</v>
      </c>
    </row>
    <row r="18" spans="1:11" s="57" customFormat="1" x14ac:dyDescent="0.25">
      <c r="A18" s="55" t="s">
        <v>182</v>
      </c>
      <c r="B18" s="56"/>
      <c r="C18" s="56"/>
      <c r="D18" s="56"/>
      <c r="E18" s="37"/>
      <c r="F18" s="37"/>
      <c r="G18" s="37"/>
      <c r="H18" s="37"/>
      <c r="I18" s="37"/>
      <c r="J18" s="37"/>
      <c r="K18" s="37">
        <f>E18-J18</f>
        <v>0</v>
      </c>
    </row>
    <row r="19" spans="1:11" x14ac:dyDescent="0.25">
      <c r="A19" s="58" t="s">
        <v>147</v>
      </c>
      <c r="B19" s="59"/>
      <c r="C19" s="59"/>
      <c r="D19" s="59"/>
      <c r="E19" s="39"/>
      <c r="F19" s="39"/>
      <c r="G19" s="39"/>
      <c r="H19" s="39"/>
      <c r="I19" s="39"/>
      <c r="J19" s="39"/>
      <c r="K19" s="39"/>
    </row>
    <row r="20" spans="1:11" x14ac:dyDescent="0.25">
      <c r="A20" s="53" t="s">
        <v>183</v>
      </c>
      <c r="B20" s="54"/>
      <c r="C20" s="54"/>
      <c r="D20" s="54"/>
      <c r="E20" s="35">
        <f>APP_T4+OTROS_T4</f>
        <v>0</v>
      </c>
      <c r="F20" s="54"/>
      <c r="G20" s="35">
        <f>APP_T6+OTROS_T6</f>
        <v>0</v>
      </c>
      <c r="H20" s="35">
        <f>APP_T7+OTROS_T7</f>
        <v>0</v>
      </c>
      <c r="I20" s="35">
        <f>APP_T8+OTROS_T8</f>
        <v>0</v>
      </c>
      <c r="J20" s="35">
        <f>APP_T9+OTROS_T9</f>
        <v>0</v>
      </c>
      <c r="K20" s="35">
        <f>APP_T10+OTROS_T10</f>
        <v>0</v>
      </c>
    </row>
    <row r="21" spans="1:11" x14ac:dyDescent="0.25">
      <c r="A21" s="60"/>
      <c r="B21" s="45"/>
      <c r="C21" s="45"/>
      <c r="D21" s="45"/>
      <c r="E21" s="45"/>
      <c r="F21" s="45"/>
      <c r="G21" s="45"/>
      <c r="H21" s="45"/>
      <c r="I21" s="45"/>
      <c r="J21" s="45"/>
      <c r="K21" s="45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00000000-0002-0000-0200-000000000000}"/>
    <dataValidation allowBlank="1" showInputMessage="1" showErrorMessage="1" prompt="Monto pagado de la inversión actualizado al XX de XXXX de 20XN (k)" sqref="J6" xr:uid="{00000000-0002-0000-0200-000001000000}"/>
    <dataValidation allowBlank="1" showInputMessage="1" showErrorMessage="1" prompt="Saldo pendiente por pagar de la inversión al XX de XXXX de 20XN (m = g - l)" sqref="K6" xr:uid="{00000000-0002-0000-0200-000002000000}"/>
    <dataValidation type="decimal" allowBlank="1" showInputMessage="1" showErrorMessage="1" sqref="E8:K20" xr:uid="{00000000-0002-0000-02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200-000004000000}">
      <formula1>36526</formula1>
    </dataValidation>
  </dataValidations>
  <pageMargins left="0.7" right="0.7" top="0.75" bottom="0.75" header="0.3" footer="0.3"/>
  <pageSetup paperSize="11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5"/>
  <sheetViews>
    <sheetView zoomScaleNormal="100" workbookViewId="0">
      <selection activeCell="F28" sqref="F2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  <col min="6" max="6" width="14.5703125" bestFit="1" customWidth="1"/>
    <col min="8" max="8" width="14.140625" bestFit="1" customWidth="1"/>
  </cols>
  <sheetData>
    <row r="1" spans="1:11" ht="21" x14ac:dyDescent="0.25">
      <c r="A1" s="202" t="s">
        <v>184</v>
      </c>
      <c r="B1" s="202"/>
      <c r="C1" s="202"/>
      <c r="D1" s="202"/>
      <c r="E1" s="61"/>
      <c r="F1" s="61"/>
      <c r="G1" s="61"/>
      <c r="H1" s="61"/>
      <c r="I1" s="61"/>
      <c r="J1" s="61"/>
      <c r="K1" s="61"/>
    </row>
    <row r="2" spans="1:11" x14ac:dyDescent="0.25">
      <c r="A2" s="203" t="s">
        <v>1</v>
      </c>
      <c r="B2" s="204"/>
      <c r="C2" s="204"/>
      <c r="D2" s="205"/>
    </row>
    <row r="3" spans="1:11" x14ac:dyDescent="0.25">
      <c r="A3" s="206" t="s">
        <v>185</v>
      </c>
      <c r="B3" s="207"/>
      <c r="C3" s="207"/>
      <c r="D3" s="208"/>
    </row>
    <row r="4" spans="1:11" x14ac:dyDescent="0.25">
      <c r="A4" s="206" t="s">
        <v>750</v>
      </c>
      <c r="B4" s="207"/>
      <c r="C4" s="207"/>
      <c r="D4" s="208"/>
    </row>
    <row r="5" spans="1:11" x14ac:dyDescent="0.25">
      <c r="A5" s="209" t="s">
        <v>3</v>
      </c>
      <c r="B5" s="210"/>
      <c r="C5" s="210"/>
      <c r="D5" s="211"/>
    </row>
    <row r="7" spans="1:11" ht="30" x14ac:dyDescent="0.25">
      <c r="A7" s="62" t="s">
        <v>5</v>
      </c>
      <c r="B7" s="63" t="s">
        <v>186</v>
      </c>
      <c r="C7" s="63" t="s">
        <v>187</v>
      </c>
      <c r="D7" s="63" t="s">
        <v>188</v>
      </c>
    </row>
    <row r="8" spans="1:11" x14ac:dyDescent="0.25">
      <c r="A8" s="64" t="s">
        <v>189</v>
      </c>
      <c r="B8" s="65">
        <f>SUM(B9:B11)</f>
        <v>34709337.149999999</v>
      </c>
      <c r="C8" s="65">
        <f>SUM(C9:C11)</f>
        <v>47231206.329999998</v>
      </c>
      <c r="D8" s="65">
        <f>SUM(D9:D11)</f>
        <v>47231206.329999998</v>
      </c>
    </row>
    <row r="9" spans="1:11" x14ac:dyDescent="0.25">
      <c r="A9" s="66" t="s">
        <v>190</v>
      </c>
      <c r="B9" s="67">
        <v>34709337.149999999</v>
      </c>
      <c r="C9" s="67">
        <v>47231206.329999998</v>
      </c>
      <c r="D9" s="67">
        <v>47231206.329999998</v>
      </c>
    </row>
    <row r="10" spans="1:11" x14ac:dyDescent="0.25">
      <c r="A10" s="66" t="s">
        <v>191</v>
      </c>
      <c r="B10" s="67">
        <v>0</v>
      </c>
      <c r="C10" s="67">
        <v>0</v>
      </c>
      <c r="D10" s="67">
        <v>0</v>
      </c>
    </row>
    <row r="11" spans="1:11" x14ac:dyDescent="0.25">
      <c r="A11" s="66" t="s">
        <v>192</v>
      </c>
      <c r="B11" s="68"/>
      <c r="C11" s="68"/>
      <c r="D11" s="68"/>
    </row>
    <row r="12" spans="1:11" x14ac:dyDescent="0.25">
      <c r="A12" s="69"/>
      <c r="B12" s="70"/>
      <c r="C12" s="70"/>
      <c r="D12" s="70"/>
    </row>
    <row r="13" spans="1:11" x14ac:dyDescent="0.25">
      <c r="A13" s="64" t="s">
        <v>193</v>
      </c>
      <c r="B13" s="65">
        <f>SUM(B14:B15)</f>
        <v>34709337.149999999</v>
      </c>
      <c r="C13" s="65">
        <f>SUM(C14:C15)</f>
        <v>56221213.460000001</v>
      </c>
      <c r="D13" s="65">
        <f>SUM(D14:D15)</f>
        <v>55871075.950000003</v>
      </c>
      <c r="F13" s="94"/>
    </row>
    <row r="14" spans="1:11" x14ac:dyDescent="0.25">
      <c r="A14" s="66" t="s">
        <v>194</v>
      </c>
      <c r="B14" s="67">
        <v>34709337.149999999</v>
      </c>
      <c r="C14" s="67">
        <v>56221213.460000001</v>
      </c>
      <c r="D14" s="67">
        <v>55871075.950000003</v>
      </c>
    </row>
    <row r="15" spans="1:11" x14ac:dyDescent="0.25">
      <c r="A15" s="66" t="s">
        <v>195</v>
      </c>
      <c r="B15" s="67">
        <v>0</v>
      </c>
      <c r="C15" s="67">
        <v>0</v>
      </c>
      <c r="D15" s="67">
        <v>0</v>
      </c>
    </row>
    <row r="16" spans="1:11" x14ac:dyDescent="0.25">
      <c r="A16" s="69"/>
      <c r="B16" s="70"/>
      <c r="C16" s="70"/>
      <c r="D16" s="70"/>
    </row>
    <row r="17" spans="1:8" x14ac:dyDescent="0.25">
      <c r="A17" s="64" t="s">
        <v>196</v>
      </c>
      <c r="B17" s="71">
        <v>0</v>
      </c>
      <c r="C17" s="65">
        <f>C18+C19</f>
        <v>16674078.960000001</v>
      </c>
      <c r="D17" s="65">
        <f>D18+D19</f>
        <v>16674078.960000001</v>
      </c>
    </row>
    <row r="18" spans="1:8" x14ac:dyDescent="0.25">
      <c r="A18" s="66" t="s">
        <v>197</v>
      </c>
      <c r="B18" s="72">
        <v>0</v>
      </c>
      <c r="C18" s="70">
        <v>16674078.960000001</v>
      </c>
      <c r="D18" s="237">
        <v>16674078.960000001</v>
      </c>
    </row>
    <row r="19" spans="1:8" x14ac:dyDescent="0.25">
      <c r="A19" s="66" t="s">
        <v>198</v>
      </c>
      <c r="B19" s="72">
        <v>0</v>
      </c>
      <c r="C19" s="67">
        <v>0</v>
      </c>
      <c r="D19" s="67">
        <v>0</v>
      </c>
      <c r="F19" s="179"/>
    </row>
    <row r="20" spans="1:8" x14ac:dyDescent="0.25">
      <c r="A20" s="69"/>
      <c r="B20" s="70"/>
      <c r="C20" s="70"/>
      <c r="D20" s="70"/>
    </row>
    <row r="21" spans="1:8" x14ac:dyDescent="0.25">
      <c r="A21" s="64" t="s">
        <v>199</v>
      </c>
      <c r="B21" s="65">
        <f>B8-B13+B17</f>
        <v>0</v>
      </c>
      <c r="C21" s="65">
        <f>C8-C13+C17</f>
        <v>7684071.8299999982</v>
      </c>
      <c r="D21" s="65">
        <f>D8-D13+D17</f>
        <v>8034209.3399999961</v>
      </c>
      <c r="H21" s="109"/>
    </row>
    <row r="22" spans="1:8" x14ac:dyDescent="0.25">
      <c r="A22" s="64"/>
      <c r="B22" s="70"/>
      <c r="C22" s="70"/>
      <c r="D22" s="70"/>
      <c r="H22" s="94"/>
    </row>
    <row r="23" spans="1:8" x14ac:dyDescent="0.25">
      <c r="A23" s="64" t="s">
        <v>200</v>
      </c>
      <c r="B23" s="65">
        <f>B21-B11</f>
        <v>0</v>
      </c>
      <c r="C23" s="65">
        <f>C21-C11</f>
        <v>7684071.8299999982</v>
      </c>
      <c r="D23" s="65">
        <f>D21-D11</f>
        <v>8034209.3399999961</v>
      </c>
      <c r="H23" s="94"/>
    </row>
    <row r="24" spans="1:8" x14ac:dyDescent="0.25">
      <c r="A24" s="64"/>
      <c r="B24" s="73"/>
      <c r="C24" s="73"/>
      <c r="D24" s="73"/>
    </row>
    <row r="25" spans="1:8" x14ac:dyDescent="0.25">
      <c r="A25" s="74" t="s">
        <v>201</v>
      </c>
      <c r="B25" s="65">
        <f>B23-B17</f>
        <v>0</v>
      </c>
      <c r="C25" s="65">
        <f>C23-C17</f>
        <v>-8990007.1300000027</v>
      </c>
      <c r="D25" s="65">
        <f>D23-D17</f>
        <v>-8639869.6200000048</v>
      </c>
      <c r="F25" s="179"/>
      <c r="H25" s="94"/>
    </row>
    <row r="26" spans="1:8" x14ac:dyDescent="0.25">
      <c r="A26" s="75"/>
      <c r="B26" s="76"/>
      <c r="C26" s="76"/>
      <c r="D26" s="76"/>
    </row>
    <row r="27" spans="1:8" x14ac:dyDescent="0.25">
      <c r="A27" s="77"/>
    </row>
    <row r="28" spans="1:8" x14ac:dyDescent="0.25">
      <c r="A28" s="62" t="s">
        <v>202</v>
      </c>
      <c r="B28" s="63" t="s">
        <v>203</v>
      </c>
      <c r="C28" s="63" t="s">
        <v>187</v>
      </c>
      <c r="D28" s="63" t="s">
        <v>204</v>
      </c>
    </row>
    <row r="29" spans="1:8" x14ac:dyDescent="0.25">
      <c r="A29" s="64" t="s">
        <v>205</v>
      </c>
      <c r="B29" s="78">
        <f>SUM(B30:B31)</f>
        <v>0</v>
      </c>
      <c r="C29" s="78">
        <f>SUM(C30:C31)</f>
        <v>0</v>
      </c>
      <c r="D29" s="78">
        <f>SUM(D30:D31)</f>
        <v>0</v>
      </c>
    </row>
    <row r="30" spans="1:8" x14ac:dyDescent="0.25">
      <c r="A30" s="66" t="s">
        <v>206</v>
      </c>
      <c r="B30" s="79">
        <v>0</v>
      </c>
      <c r="C30" s="79">
        <v>0</v>
      </c>
      <c r="D30" s="79">
        <v>0</v>
      </c>
    </row>
    <row r="31" spans="1:8" x14ac:dyDescent="0.25">
      <c r="A31" s="66" t="s">
        <v>207</v>
      </c>
      <c r="B31" s="79">
        <v>0</v>
      </c>
      <c r="C31" s="79">
        <v>0</v>
      </c>
      <c r="D31" s="79">
        <v>0</v>
      </c>
    </row>
    <row r="32" spans="1:8" x14ac:dyDescent="0.25">
      <c r="A32" s="80"/>
      <c r="B32" s="81"/>
      <c r="C32" s="81"/>
      <c r="D32" s="81"/>
    </row>
    <row r="33" spans="1:4" x14ac:dyDescent="0.25">
      <c r="A33" s="64" t="s">
        <v>208</v>
      </c>
      <c r="B33" s="78">
        <f>B25+B29</f>
        <v>0</v>
      </c>
      <c r="C33" s="78">
        <f>C25+C29</f>
        <v>-8990007.1300000027</v>
      </c>
      <c r="D33" s="78">
        <f>D25+D29</f>
        <v>-8639869.6200000048</v>
      </c>
    </row>
    <row r="34" spans="1:4" x14ac:dyDescent="0.25">
      <c r="A34" s="82"/>
      <c r="B34" s="83"/>
      <c r="C34" s="83"/>
      <c r="D34" s="83"/>
    </row>
    <row r="35" spans="1:4" x14ac:dyDescent="0.25">
      <c r="A35" s="77"/>
    </row>
    <row r="36" spans="1:4" ht="30" x14ac:dyDescent="0.25">
      <c r="A36" s="62" t="s">
        <v>202</v>
      </c>
      <c r="B36" s="63" t="s">
        <v>209</v>
      </c>
      <c r="C36" s="63" t="s">
        <v>187</v>
      </c>
      <c r="D36" s="63" t="s">
        <v>188</v>
      </c>
    </row>
    <row r="37" spans="1:4" x14ac:dyDescent="0.25">
      <c r="A37" s="64" t="s">
        <v>210</v>
      </c>
      <c r="B37" s="78">
        <f>SUM(B38:B39)</f>
        <v>0</v>
      </c>
      <c r="C37" s="78">
        <f>SUM(C38:C39)</f>
        <v>0</v>
      </c>
      <c r="D37" s="78">
        <f>SUM(D38:D39)</f>
        <v>0</v>
      </c>
    </row>
    <row r="38" spans="1:4" x14ac:dyDescent="0.25">
      <c r="A38" s="66" t="s">
        <v>211</v>
      </c>
      <c r="B38" s="84"/>
      <c r="C38" s="84"/>
      <c r="D38" s="84"/>
    </row>
    <row r="39" spans="1:4" x14ac:dyDescent="0.25">
      <c r="A39" s="66" t="s">
        <v>212</v>
      </c>
      <c r="B39" s="84"/>
      <c r="C39" s="84"/>
      <c r="D39" s="84"/>
    </row>
    <row r="40" spans="1:4" x14ac:dyDescent="0.25">
      <c r="A40" s="64" t="s">
        <v>213</v>
      </c>
      <c r="B40" s="78">
        <f>SUM(B41:B42)</f>
        <v>0</v>
      </c>
      <c r="C40" s="78">
        <f>SUM(C41:C42)</f>
        <v>0</v>
      </c>
      <c r="D40" s="78">
        <f>SUM(D41:D42)</f>
        <v>0</v>
      </c>
    </row>
    <row r="41" spans="1:4" x14ac:dyDescent="0.25">
      <c r="A41" s="66" t="s">
        <v>214</v>
      </c>
      <c r="B41" s="79">
        <v>0</v>
      </c>
      <c r="C41" s="79">
        <v>0</v>
      </c>
      <c r="D41" s="79">
        <v>0</v>
      </c>
    </row>
    <row r="42" spans="1:4" x14ac:dyDescent="0.25">
      <c r="A42" s="66" t="s">
        <v>215</v>
      </c>
      <c r="B42" s="79">
        <v>0</v>
      </c>
      <c r="C42" s="79">
        <v>0</v>
      </c>
      <c r="D42" s="79">
        <v>0</v>
      </c>
    </row>
    <row r="43" spans="1:4" x14ac:dyDescent="0.25">
      <c r="A43" s="80"/>
      <c r="B43" s="81"/>
      <c r="C43" s="81"/>
      <c r="D43" s="81"/>
    </row>
    <row r="44" spans="1:4" x14ac:dyDescent="0.25">
      <c r="A44" s="64" t="s">
        <v>216</v>
      </c>
      <c r="B44" s="78">
        <f>B37-B40</f>
        <v>0</v>
      </c>
      <c r="C44" s="78">
        <f>C37-C40</f>
        <v>0</v>
      </c>
      <c r="D44" s="78">
        <f>D37-D40</f>
        <v>0</v>
      </c>
    </row>
    <row r="45" spans="1:4" x14ac:dyDescent="0.25">
      <c r="A45" s="85"/>
      <c r="B45" s="86"/>
      <c r="C45" s="86"/>
      <c r="D45" s="86"/>
    </row>
    <row r="47" spans="1:4" ht="30" x14ac:dyDescent="0.25">
      <c r="A47" s="62" t="s">
        <v>202</v>
      </c>
      <c r="B47" s="63" t="s">
        <v>209</v>
      </c>
      <c r="C47" s="63" t="s">
        <v>187</v>
      </c>
      <c r="D47" s="63" t="s">
        <v>188</v>
      </c>
    </row>
    <row r="48" spans="1:4" x14ac:dyDescent="0.25">
      <c r="A48" s="87" t="s">
        <v>217</v>
      </c>
      <c r="B48" s="88">
        <v>34709337.149999999</v>
      </c>
      <c r="C48" s="88">
        <v>47231206.329999998</v>
      </c>
      <c r="D48" s="88">
        <v>47231206.329999998</v>
      </c>
    </row>
    <row r="49" spans="1:6" x14ac:dyDescent="0.25">
      <c r="A49" s="89" t="s">
        <v>218</v>
      </c>
      <c r="B49" s="78">
        <f>B50-B51</f>
        <v>0</v>
      </c>
      <c r="C49" s="78">
        <f>C50-C51</f>
        <v>0</v>
      </c>
      <c r="D49" s="78">
        <f>D50-D51</f>
        <v>0</v>
      </c>
    </row>
    <row r="50" spans="1:6" x14ac:dyDescent="0.25">
      <c r="A50" s="90" t="s">
        <v>211</v>
      </c>
      <c r="B50" s="84"/>
      <c r="C50" s="84"/>
      <c r="D50" s="84"/>
    </row>
    <row r="51" spans="1:6" x14ac:dyDescent="0.25">
      <c r="A51" s="90" t="s">
        <v>214</v>
      </c>
      <c r="B51" s="79">
        <v>0</v>
      </c>
      <c r="C51" s="79">
        <v>0</v>
      </c>
      <c r="D51" s="79">
        <v>0</v>
      </c>
    </row>
    <row r="52" spans="1:6" x14ac:dyDescent="0.25">
      <c r="A52" s="80"/>
      <c r="B52" s="81"/>
      <c r="C52" s="81"/>
      <c r="D52" s="81"/>
    </row>
    <row r="53" spans="1:6" x14ac:dyDescent="0.25">
      <c r="A53" s="66" t="s">
        <v>194</v>
      </c>
      <c r="B53" s="79">
        <v>34709337.149999999</v>
      </c>
      <c r="C53" s="79">
        <v>56221213.460000001</v>
      </c>
      <c r="D53" s="79">
        <v>55871075.950000003</v>
      </c>
    </row>
    <row r="54" spans="1:6" x14ac:dyDescent="0.25">
      <c r="A54" s="80"/>
      <c r="B54" s="81"/>
      <c r="C54" s="81"/>
      <c r="D54" s="81"/>
    </row>
    <row r="55" spans="1:6" x14ac:dyDescent="0.25">
      <c r="A55" s="66" t="s">
        <v>197</v>
      </c>
      <c r="B55" s="91"/>
      <c r="C55" s="79">
        <v>16674078.960000001</v>
      </c>
      <c r="D55" s="79">
        <v>16674078.960000001</v>
      </c>
      <c r="F55" s="94">
        <f>+C55-C18</f>
        <v>0</v>
      </c>
    </row>
    <row r="56" spans="1:6" x14ac:dyDescent="0.25">
      <c r="A56" s="80"/>
      <c r="B56" s="81"/>
      <c r="C56" s="81"/>
      <c r="D56" s="81"/>
      <c r="F56" s="94"/>
    </row>
    <row r="57" spans="1:6" ht="30" x14ac:dyDescent="0.25">
      <c r="A57" s="74" t="s">
        <v>219</v>
      </c>
      <c r="B57" s="78">
        <f>B48+B49-B53-B55</f>
        <v>0</v>
      </c>
      <c r="C57" s="78">
        <f>C48+C49-C53+C55</f>
        <v>7684071.8299999982</v>
      </c>
      <c r="D57" s="78">
        <f>D48+D49-D53+D55</f>
        <v>8034209.3399999961</v>
      </c>
    </row>
    <row r="58" spans="1:6" x14ac:dyDescent="0.25">
      <c r="A58" s="92"/>
      <c r="B58" s="93"/>
      <c r="C58" s="93"/>
      <c r="D58" s="93"/>
    </row>
    <row r="59" spans="1:6" x14ac:dyDescent="0.25">
      <c r="A59" s="74" t="s">
        <v>220</v>
      </c>
      <c r="B59" s="78">
        <f>B57-B49</f>
        <v>0</v>
      </c>
      <c r="C59" s="78">
        <f>C57-C49</f>
        <v>7684071.8299999982</v>
      </c>
      <c r="D59" s="78">
        <f>D57-D49</f>
        <v>8034209.3399999961</v>
      </c>
      <c r="F59" s="94"/>
    </row>
    <row r="60" spans="1:6" x14ac:dyDescent="0.25">
      <c r="A60" s="82"/>
      <c r="B60" s="86"/>
      <c r="C60" s="86"/>
      <c r="D60" s="86"/>
    </row>
    <row r="62" spans="1:6" ht="30" x14ac:dyDescent="0.25">
      <c r="A62" s="62" t="s">
        <v>202</v>
      </c>
      <c r="B62" s="63" t="s">
        <v>209</v>
      </c>
      <c r="C62" s="63" t="s">
        <v>187</v>
      </c>
      <c r="D62" s="63" t="s">
        <v>188</v>
      </c>
    </row>
    <row r="63" spans="1:6" x14ac:dyDescent="0.25">
      <c r="A63" s="87" t="s">
        <v>191</v>
      </c>
      <c r="B63" s="95">
        <v>0</v>
      </c>
      <c r="C63" s="95">
        <v>0</v>
      </c>
      <c r="D63" s="95">
        <v>0</v>
      </c>
    </row>
    <row r="64" spans="1:6" ht="30" x14ac:dyDescent="0.25">
      <c r="A64" s="89" t="s">
        <v>221</v>
      </c>
      <c r="B64" s="65">
        <f>B65-B66</f>
        <v>0</v>
      </c>
      <c r="C64" s="65">
        <f>C65-C66</f>
        <v>0</v>
      </c>
      <c r="D64" s="65">
        <f>D65-D66</f>
        <v>0</v>
      </c>
    </row>
    <row r="65" spans="1:4" x14ac:dyDescent="0.25">
      <c r="A65" s="90" t="s">
        <v>212</v>
      </c>
      <c r="B65" s="68"/>
      <c r="C65" s="68"/>
      <c r="D65" s="68"/>
    </row>
    <row r="66" spans="1:4" x14ac:dyDescent="0.25">
      <c r="A66" s="90" t="s">
        <v>215</v>
      </c>
      <c r="B66" s="67">
        <v>0</v>
      </c>
      <c r="C66" s="67">
        <v>0</v>
      </c>
      <c r="D66" s="67">
        <v>0</v>
      </c>
    </row>
    <row r="67" spans="1:4" x14ac:dyDescent="0.25">
      <c r="A67" s="80"/>
      <c r="B67" s="70"/>
      <c r="C67" s="70"/>
      <c r="D67" s="70"/>
    </row>
    <row r="68" spans="1:4" x14ac:dyDescent="0.25">
      <c r="A68" s="66" t="s">
        <v>222</v>
      </c>
      <c r="B68" s="67">
        <v>0</v>
      </c>
      <c r="C68" s="67">
        <v>0</v>
      </c>
      <c r="D68" s="67">
        <v>0</v>
      </c>
    </row>
    <row r="69" spans="1:4" x14ac:dyDescent="0.25">
      <c r="A69" s="80"/>
      <c r="B69" s="70"/>
      <c r="C69" s="70"/>
      <c r="D69" s="70"/>
    </row>
    <row r="70" spans="1:4" x14ac:dyDescent="0.25">
      <c r="A70" s="66" t="s">
        <v>198</v>
      </c>
      <c r="B70" s="96">
        <v>0</v>
      </c>
      <c r="C70" s="67">
        <v>0</v>
      </c>
      <c r="D70" s="67">
        <v>0</v>
      </c>
    </row>
    <row r="71" spans="1:4" x14ac:dyDescent="0.25">
      <c r="A71" s="80"/>
      <c r="B71" s="70"/>
      <c r="C71" s="70"/>
      <c r="D71" s="70"/>
    </row>
    <row r="72" spans="1:4" ht="30" x14ac:dyDescent="0.25">
      <c r="A72" s="74" t="s">
        <v>223</v>
      </c>
      <c r="B72" s="65">
        <f>B63+B64-B68+B70</f>
        <v>0</v>
      </c>
      <c r="C72" s="65">
        <f>C63+C64-C68+C70</f>
        <v>0</v>
      </c>
      <c r="D72" s="65">
        <f>D63+D64-D68+D70</f>
        <v>0</v>
      </c>
    </row>
    <row r="73" spans="1:4" x14ac:dyDescent="0.25">
      <c r="A73" s="80"/>
      <c r="B73" s="70"/>
      <c r="C73" s="70"/>
      <c r="D73" s="70"/>
    </row>
    <row r="74" spans="1:4" x14ac:dyDescent="0.25">
      <c r="A74" s="74" t="s">
        <v>224</v>
      </c>
      <c r="B74" s="65">
        <f>B72-B64</f>
        <v>0</v>
      </c>
      <c r="C74" s="65">
        <f>C72-C64</f>
        <v>0</v>
      </c>
      <c r="D74" s="65">
        <f>D72-D64</f>
        <v>0</v>
      </c>
    </row>
    <row r="75" spans="1:4" x14ac:dyDescent="0.25">
      <c r="A75" s="82"/>
      <c r="B75" s="97"/>
      <c r="C75" s="97"/>
      <c r="D75" s="9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ignoredErrors>
    <ignoredError sqref="B8:D24 B26:D26 B25:C25 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80"/>
  <sheetViews>
    <sheetView showGridLines="0" zoomScale="90" zoomScaleNormal="90" workbookViewId="0">
      <selection activeCell="C69" sqref="C69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15" t="s">
        <v>225</v>
      </c>
      <c r="B1" s="215"/>
      <c r="C1" s="215"/>
      <c r="D1" s="215"/>
      <c r="E1" s="215"/>
      <c r="F1" s="215"/>
      <c r="G1" s="215"/>
      <c r="H1" s="98"/>
    </row>
    <row r="2" spans="1:8" x14ac:dyDescent="0.25">
      <c r="A2" s="203" t="s">
        <v>1</v>
      </c>
      <c r="B2" s="204"/>
      <c r="C2" s="204"/>
      <c r="D2" s="204"/>
      <c r="E2" s="204"/>
      <c r="F2" s="204"/>
      <c r="G2" s="205"/>
    </row>
    <row r="3" spans="1:8" x14ac:dyDescent="0.25">
      <c r="A3" s="206" t="s">
        <v>226</v>
      </c>
      <c r="B3" s="207"/>
      <c r="C3" s="207"/>
      <c r="D3" s="207"/>
      <c r="E3" s="207"/>
      <c r="F3" s="207"/>
      <c r="G3" s="208"/>
    </row>
    <row r="4" spans="1:8" x14ac:dyDescent="0.25">
      <c r="A4" s="206" t="s">
        <v>750</v>
      </c>
      <c r="B4" s="207"/>
      <c r="C4" s="207"/>
      <c r="D4" s="207"/>
      <c r="E4" s="207"/>
      <c r="F4" s="207"/>
      <c r="G4" s="208"/>
    </row>
    <row r="5" spans="1:8" x14ac:dyDescent="0.25">
      <c r="A5" s="209" t="s">
        <v>3</v>
      </c>
      <c r="B5" s="210"/>
      <c r="C5" s="210"/>
      <c r="D5" s="210"/>
      <c r="E5" s="210"/>
      <c r="F5" s="210"/>
      <c r="G5" s="211"/>
    </row>
    <row r="6" spans="1:8" x14ac:dyDescent="0.25">
      <c r="A6" s="212" t="s">
        <v>227</v>
      </c>
      <c r="B6" s="214" t="s">
        <v>228</v>
      </c>
      <c r="C6" s="214"/>
      <c r="D6" s="214"/>
      <c r="E6" s="214"/>
      <c r="F6" s="214"/>
      <c r="G6" s="214" t="s">
        <v>229</v>
      </c>
    </row>
    <row r="7" spans="1:8" ht="30" x14ac:dyDescent="0.25">
      <c r="A7" s="213"/>
      <c r="B7" s="99" t="s">
        <v>230</v>
      </c>
      <c r="C7" s="63" t="s">
        <v>231</v>
      </c>
      <c r="D7" s="99" t="s">
        <v>232</v>
      </c>
      <c r="E7" s="99" t="s">
        <v>187</v>
      </c>
      <c r="F7" s="99" t="s">
        <v>233</v>
      </c>
      <c r="G7" s="214"/>
    </row>
    <row r="8" spans="1:8" x14ac:dyDescent="0.25">
      <c r="A8" s="100" t="s">
        <v>234</v>
      </c>
      <c r="B8" s="70"/>
      <c r="C8" s="70"/>
      <c r="D8" s="70"/>
      <c r="E8" s="70"/>
      <c r="F8" s="70"/>
      <c r="G8" s="70"/>
    </row>
    <row r="9" spans="1:8" x14ac:dyDescent="0.25">
      <c r="A9" s="66" t="s">
        <v>235</v>
      </c>
      <c r="B9" s="79">
        <v>0</v>
      </c>
      <c r="C9" s="79">
        <v>0</v>
      </c>
      <c r="D9" s="84">
        <f>B9+C9</f>
        <v>0</v>
      </c>
      <c r="E9" s="79">
        <v>0</v>
      </c>
      <c r="F9" s="79">
        <v>0</v>
      </c>
      <c r="G9" s="84">
        <f>F9-B9</f>
        <v>0</v>
      </c>
      <c r="H9" s="101"/>
    </row>
    <row r="10" spans="1:8" x14ac:dyDescent="0.25">
      <c r="A10" s="66" t="s">
        <v>236</v>
      </c>
      <c r="B10" s="79">
        <v>0</v>
      </c>
      <c r="C10" s="79">
        <v>0</v>
      </c>
      <c r="D10" s="84">
        <f t="shared" ref="D10:D15" si="0">B10+C10</f>
        <v>0</v>
      </c>
      <c r="E10" s="79">
        <v>0</v>
      </c>
      <c r="F10" s="79">
        <v>0</v>
      </c>
      <c r="G10" s="84">
        <f t="shared" ref="G10:G39" si="1">F10-B10</f>
        <v>0</v>
      </c>
    </row>
    <row r="11" spans="1:8" x14ac:dyDescent="0.25">
      <c r="A11" s="66" t="s">
        <v>237</v>
      </c>
      <c r="B11" s="79">
        <v>0</v>
      </c>
      <c r="C11" s="79">
        <v>0</v>
      </c>
      <c r="D11" s="84">
        <f t="shared" si="0"/>
        <v>0</v>
      </c>
      <c r="E11" s="79">
        <v>0</v>
      </c>
      <c r="F11" s="79">
        <v>0</v>
      </c>
      <c r="G11" s="84">
        <f t="shared" si="1"/>
        <v>0</v>
      </c>
    </row>
    <row r="12" spans="1:8" x14ac:dyDescent="0.25">
      <c r="A12" s="66" t="s">
        <v>238</v>
      </c>
      <c r="B12" s="79">
        <v>0</v>
      </c>
      <c r="C12" s="79">
        <v>0</v>
      </c>
      <c r="D12" s="84">
        <f t="shared" si="0"/>
        <v>0</v>
      </c>
      <c r="E12" s="79">
        <v>0</v>
      </c>
      <c r="F12" s="79">
        <v>0</v>
      </c>
      <c r="G12" s="84">
        <f t="shared" si="1"/>
        <v>0</v>
      </c>
    </row>
    <row r="13" spans="1:8" x14ac:dyDescent="0.25">
      <c r="A13" s="66" t="s">
        <v>239</v>
      </c>
      <c r="B13" s="79">
        <v>54700</v>
      </c>
      <c r="C13" s="79">
        <v>1096900.8600000001</v>
      </c>
      <c r="D13" s="84">
        <f t="shared" si="0"/>
        <v>1151600.8600000001</v>
      </c>
      <c r="E13" s="79">
        <v>868144.81</v>
      </c>
      <c r="F13" s="79">
        <v>868144.81</v>
      </c>
      <c r="G13" s="84">
        <f t="shared" si="1"/>
        <v>813444.81</v>
      </c>
    </row>
    <row r="14" spans="1:8" x14ac:dyDescent="0.25">
      <c r="A14" s="66" t="s">
        <v>240</v>
      </c>
      <c r="B14" s="79">
        <v>0</v>
      </c>
      <c r="C14" s="79">
        <v>0</v>
      </c>
      <c r="D14" s="84">
        <f t="shared" si="0"/>
        <v>0</v>
      </c>
      <c r="E14" s="79">
        <v>0</v>
      </c>
      <c r="F14" s="79">
        <v>0</v>
      </c>
      <c r="G14" s="84">
        <f t="shared" si="1"/>
        <v>0</v>
      </c>
    </row>
    <row r="15" spans="1:8" x14ac:dyDescent="0.25">
      <c r="A15" s="66" t="s">
        <v>241</v>
      </c>
      <c r="B15" s="79">
        <v>34654637.149999999</v>
      </c>
      <c r="C15" s="79">
        <v>11996019</v>
      </c>
      <c r="D15" s="84">
        <f t="shared" si="0"/>
        <v>46650656.149999999</v>
      </c>
      <c r="E15" s="79">
        <v>46223972.270000003</v>
      </c>
      <c r="F15" s="79">
        <v>46223972.270000003</v>
      </c>
      <c r="G15" s="84">
        <f t="shared" si="1"/>
        <v>11569335.120000005</v>
      </c>
    </row>
    <row r="16" spans="1:8" x14ac:dyDescent="0.25">
      <c r="A16" s="102" t="s">
        <v>242</v>
      </c>
      <c r="B16" s="84">
        <f>SUM(B17:B27)</f>
        <v>0</v>
      </c>
      <c r="C16" s="84">
        <f>SUM(C17:C27)</f>
        <v>0</v>
      </c>
      <c r="D16" s="84">
        <f>SUM(D17:D27)</f>
        <v>0</v>
      </c>
      <c r="E16" s="84">
        <f>SUM(E17:E27)</f>
        <v>0</v>
      </c>
      <c r="F16" s="84">
        <f>SUM(F17:F27)</f>
        <v>0</v>
      </c>
      <c r="G16" s="84">
        <f t="shared" si="1"/>
        <v>0</v>
      </c>
    </row>
    <row r="17" spans="1:7" x14ac:dyDescent="0.25">
      <c r="A17" s="103" t="s">
        <v>243</v>
      </c>
      <c r="B17" s="79">
        <v>0</v>
      </c>
      <c r="C17" s="79">
        <v>0</v>
      </c>
      <c r="D17" s="84">
        <f t="shared" ref="D17:D27" si="2">B17+C17</f>
        <v>0</v>
      </c>
      <c r="E17" s="79">
        <v>0</v>
      </c>
      <c r="F17" s="79">
        <v>0</v>
      </c>
      <c r="G17" s="84">
        <f t="shared" si="1"/>
        <v>0</v>
      </c>
    </row>
    <row r="18" spans="1:7" x14ac:dyDescent="0.25">
      <c r="A18" s="103" t="s">
        <v>244</v>
      </c>
      <c r="B18" s="84"/>
      <c r="C18" s="84"/>
      <c r="D18" s="84">
        <f t="shared" si="2"/>
        <v>0</v>
      </c>
      <c r="E18" s="84"/>
      <c r="F18" s="84"/>
      <c r="G18" s="84">
        <f t="shared" si="1"/>
        <v>0</v>
      </c>
    </row>
    <row r="19" spans="1:7" x14ac:dyDescent="0.25">
      <c r="A19" s="103" t="s">
        <v>245</v>
      </c>
      <c r="B19" s="84"/>
      <c r="C19" s="84"/>
      <c r="D19" s="84">
        <f t="shared" si="2"/>
        <v>0</v>
      </c>
      <c r="E19" s="84"/>
      <c r="F19" s="84"/>
      <c r="G19" s="84">
        <f t="shared" si="1"/>
        <v>0</v>
      </c>
    </row>
    <row r="20" spans="1:7" x14ac:dyDescent="0.25">
      <c r="A20" s="103" t="s">
        <v>246</v>
      </c>
      <c r="B20" s="84"/>
      <c r="C20" s="84"/>
      <c r="D20" s="84">
        <f t="shared" si="2"/>
        <v>0</v>
      </c>
      <c r="E20" s="84"/>
      <c r="F20" s="84"/>
      <c r="G20" s="84">
        <f t="shared" si="1"/>
        <v>0</v>
      </c>
    </row>
    <row r="21" spans="1:7" x14ac:dyDescent="0.25">
      <c r="A21" s="103" t="s">
        <v>247</v>
      </c>
      <c r="B21" s="84"/>
      <c r="C21" s="84"/>
      <c r="D21" s="84">
        <f t="shared" si="2"/>
        <v>0</v>
      </c>
      <c r="E21" s="84"/>
      <c r="F21" s="84"/>
      <c r="G21" s="84">
        <f t="shared" si="1"/>
        <v>0</v>
      </c>
    </row>
    <row r="22" spans="1:7" x14ac:dyDescent="0.25">
      <c r="A22" s="103" t="s">
        <v>248</v>
      </c>
      <c r="B22" s="84"/>
      <c r="C22" s="84"/>
      <c r="D22" s="84">
        <f t="shared" si="2"/>
        <v>0</v>
      </c>
      <c r="E22" s="84"/>
      <c r="F22" s="84"/>
      <c r="G22" s="84">
        <f t="shared" si="1"/>
        <v>0</v>
      </c>
    </row>
    <row r="23" spans="1:7" x14ac:dyDescent="0.25">
      <c r="A23" s="103" t="s">
        <v>249</v>
      </c>
      <c r="B23" s="84"/>
      <c r="C23" s="84"/>
      <c r="D23" s="84">
        <f t="shared" si="2"/>
        <v>0</v>
      </c>
      <c r="E23" s="84"/>
      <c r="F23" s="84"/>
      <c r="G23" s="84">
        <f t="shared" si="1"/>
        <v>0</v>
      </c>
    </row>
    <row r="24" spans="1:7" x14ac:dyDescent="0.25">
      <c r="A24" s="103" t="s">
        <v>250</v>
      </c>
      <c r="B24" s="84"/>
      <c r="C24" s="84"/>
      <c r="D24" s="84">
        <f t="shared" si="2"/>
        <v>0</v>
      </c>
      <c r="E24" s="84"/>
      <c r="F24" s="84"/>
      <c r="G24" s="84">
        <f t="shared" si="1"/>
        <v>0</v>
      </c>
    </row>
    <row r="25" spans="1:7" x14ac:dyDescent="0.25">
      <c r="A25" s="103" t="s">
        <v>251</v>
      </c>
      <c r="B25" s="84"/>
      <c r="C25" s="84"/>
      <c r="D25" s="84">
        <f t="shared" si="2"/>
        <v>0</v>
      </c>
      <c r="E25" s="84"/>
      <c r="F25" s="84"/>
      <c r="G25" s="84">
        <f t="shared" si="1"/>
        <v>0</v>
      </c>
    </row>
    <row r="26" spans="1:7" x14ac:dyDescent="0.25">
      <c r="A26" s="103" t="s">
        <v>252</v>
      </c>
      <c r="B26" s="84"/>
      <c r="C26" s="84"/>
      <c r="D26" s="84">
        <f t="shared" si="2"/>
        <v>0</v>
      </c>
      <c r="E26" s="84"/>
      <c r="F26" s="84"/>
      <c r="G26" s="84">
        <f t="shared" si="1"/>
        <v>0</v>
      </c>
    </row>
    <row r="27" spans="1:7" x14ac:dyDescent="0.25">
      <c r="A27" s="103" t="s">
        <v>253</v>
      </c>
      <c r="B27" s="84"/>
      <c r="C27" s="84"/>
      <c r="D27" s="84">
        <f t="shared" si="2"/>
        <v>0</v>
      </c>
      <c r="E27" s="84"/>
      <c r="F27" s="84"/>
      <c r="G27" s="84">
        <f t="shared" si="1"/>
        <v>0</v>
      </c>
    </row>
    <row r="28" spans="1:7" x14ac:dyDescent="0.25">
      <c r="A28" s="66" t="s">
        <v>254</v>
      </c>
      <c r="B28" s="84">
        <f>SUM(B29:B33)</f>
        <v>0</v>
      </c>
      <c r="C28" s="84">
        <f>SUM(C29:C33)</f>
        <v>0</v>
      </c>
      <c r="D28" s="84">
        <f>SUM(D29:D33)</f>
        <v>0</v>
      </c>
      <c r="E28" s="84">
        <f>SUM(E29:E33)</f>
        <v>0</v>
      </c>
      <c r="F28" s="84">
        <f>SUM(F29:F33)</f>
        <v>0</v>
      </c>
      <c r="G28" s="84">
        <f t="shared" si="1"/>
        <v>0</v>
      </c>
    </row>
    <row r="29" spans="1:7" x14ac:dyDescent="0.25">
      <c r="A29" s="103" t="s">
        <v>255</v>
      </c>
      <c r="B29" s="79">
        <v>0</v>
      </c>
      <c r="C29" s="79">
        <v>0</v>
      </c>
      <c r="D29" s="84">
        <f t="shared" ref="D29:D36" si="3">B29+C29</f>
        <v>0</v>
      </c>
      <c r="E29" s="79">
        <v>0</v>
      </c>
      <c r="F29" s="79">
        <v>0</v>
      </c>
      <c r="G29" s="84">
        <f t="shared" si="1"/>
        <v>0</v>
      </c>
    </row>
    <row r="30" spans="1:7" x14ac:dyDescent="0.25">
      <c r="A30" s="103" t="s">
        <v>256</v>
      </c>
      <c r="B30" s="84"/>
      <c r="C30" s="84"/>
      <c r="D30" s="84">
        <f t="shared" si="3"/>
        <v>0</v>
      </c>
      <c r="E30" s="84"/>
      <c r="F30" s="84"/>
      <c r="G30" s="84">
        <f t="shared" si="1"/>
        <v>0</v>
      </c>
    </row>
    <row r="31" spans="1:7" x14ac:dyDescent="0.25">
      <c r="A31" s="103" t="s">
        <v>257</v>
      </c>
      <c r="B31" s="84"/>
      <c r="C31" s="84"/>
      <c r="D31" s="84">
        <f t="shared" si="3"/>
        <v>0</v>
      </c>
      <c r="E31" s="84"/>
      <c r="F31" s="84"/>
      <c r="G31" s="84">
        <f t="shared" si="1"/>
        <v>0</v>
      </c>
    </row>
    <row r="32" spans="1:7" x14ac:dyDescent="0.25">
      <c r="A32" s="103" t="s">
        <v>258</v>
      </c>
      <c r="B32" s="84"/>
      <c r="C32" s="84"/>
      <c r="D32" s="84">
        <f t="shared" si="3"/>
        <v>0</v>
      </c>
      <c r="E32" s="84"/>
      <c r="F32" s="84"/>
      <c r="G32" s="84">
        <f t="shared" si="1"/>
        <v>0</v>
      </c>
    </row>
    <row r="33" spans="1:8" x14ac:dyDescent="0.25">
      <c r="A33" s="103" t="s">
        <v>259</v>
      </c>
      <c r="B33" s="84"/>
      <c r="C33" s="84"/>
      <c r="D33" s="84">
        <f t="shared" si="3"/>
        <v>0</v>
      </c>
      <c r="E33" s="84"/>
      <c r="F33" s="84"/>
      <c r="G33" s="84">
        <f t="shared" si="1"/>
        <v>0</v>
      </c>
    </row>
    <row r="34" spans="1:8" x14ac:dyDescent="0.25">
      <c r="A34" s="66" t="s">
        <v>260</v>
      </c>
      <c r="B34" s="79">
        <v>0</v>
      </c>
      <c r="C34" s="79">
        <v>0</v>
      </c>
      <c r="D34" s="84">
        <f t="shared" si="3"/>
        <v>0</v>
      </c>
      <c r="E34" s="79">
        <v>0</v>
      </c>
      <c r="F34" s="79">
        <v>0</v>
      </c>
      <c r="G34" s="84">
        <f t="shared" si="1"/>
        <v>0</v>
      </c>
    </row>
    <row r="35" spans="1:8" x14ac:dyDescent="0.25">
      <c r="A35" s="66" t="s">
        <v>261</v>
      </c>
      <c r="B35" s="84">
        <f>B36</f>
        <v>0</v>
      </c>
      <c r="C35" s="84">
        <f>C36</f>
        <v>268180.39</v>
      </c>
      <c r="D35" s="84">
        <f t="shared" si="3"/>
        <v>268180.39</v>
      </c>
      <c r="E35" s="84">
        <f>E36</f>
        <v>139089.25</v>
      </c>
      <c r="F35" s="84">
        <f>F36</f>
        <v>139089.25</v>
      </c>
      <c r="G35" s="84">
        <f t="shared" si="1"/>
        <v>139089.25</v>
      </c>
    </row>
    <row r="36" spans="1:8" x14ac:dyDescent="0.25">
      <c r="A36" s="103" t="s">
        <v>262</v>
      </c>
      <c r="B36" s="79">
        <v>0</v>
      </c>
      <c r="C36" s="79">
        <v>268180.39</v>
      </c>
      <c r="D36" s="84">
        <f t="shared" si="3"/>
        <v>268180.39</v>
      </c>
      <c r="E36" s="79">
        <v>139089.25</v>
      </c>
      <c r="F36" s="79">
        <v>139089.25</v>
      </c>
      <c r="G36" s="84">
        <f t="shared" si="1"/>
        <v>139089.25</v>
      </c>
    </row>
    <row r="37" spans="1:8" x14ac:dyDescent="0.25">
      <c r="A37" s="66" t="s">
        <v>263</v>
      </c>
      <c r="B37" s="84">
        <f>B38+B39</f>
        <v>0</v>
      </c>
      <c r="C37" s="84">
        <f>C38+C39</f>
        <v>0</v>
      </c>
      <c r="D37" s="84">
        <f>D38+D39</f>
        <v>0</v>
      </c>
      <c r="E37" s="84">
        <f>E38+E39</f>
        <v>0</v>
      </c>
      <c r="F37" s="84">
        <f>F38+F39</f>
        <v>0</v>
      </c>
      <c r="G37" s="84">
        <f t="shared" si="1"/>
        <v>0</v>
      </c>
    </row>
    <row r="38" spans="1:8" x14ac:dyDescent="0.25">
      <c r="A38" s="103" t="s">
        <v>264</v>
      </c>
      <c r="B38" s="84"/>
      <c r="C38" s="84"/>
      <c r="D38" s="84">
        <f>B38+C38</f>
        <v>0</v>
      </c>
      <c r="E38" s="84"/>
      <c r="F38" s="84"/>
      <c r="G38" s="84">
        <f t="shared" si="1"/>
        <v>0</v>
      </c>
    </row>
    <row r="39" spans="1:8" x14ac:dyDescent="0.25">
      <c r="A39" s="103" t="s">
        <v>265</v>
      </c>
      <c r="B39" s="84"/>
      <c r="C39" s="84"/>
      <c r="D39" s="84">
        <f>B39+C39</f>
        <v>0</v>
      </c>
      <c r="E39" s="84"/>
      <c r="F39" s="84"/>
      <c r="G39" s="84">
        <f t="shared" si="1"/>
        <v>0</v>
      </c>
    </row>
    <row r="40" spans="1:8" x14ac:dyDescent="0.25">
      <c r="A40" s="80"/>
      <c r="B40" s="84"/>
      <c r="C40" s="84"/>
      <c r="D40" s="84"/>
      <c r="E40" s="84"/>
      <c r="F40" s="84"/>
      <c r="G40" s="84"/>
    </row>
    <row r="41" spans="1:8" x14ac:dyDescent="0.25">
      <c r="A41" s="64" t="s">
        <v>266</v>
      </c>
      <c r="B41" s="78">
        <f t="shared" ref="B41:G41" si="4">B9+B10+B11+B12+B13+B14+B15+B16+B28++B34+B35+B37</f>
        <v>34709337.149999999</v>
      </c>
      <c r="C41" s="78">
        <f t="shared" si="4"/>
        <v>13361100.25</v>
      </c>
      <c r="D41" s="78">
        <f t="shared" si="4"/>
        <v>48070437.399999999</v>
      </c>
      <c r="E41" s="78">
        <f t="shared" si="4"/>
        <v>47231206.330000006</v>
      </c>
      <c r="F41" s="78">
        <f t="shared" si="4"/>
        <v>47231206.330000006</v>
      </c>
      <c r="G41" s="78">
        <f t="shared" si="4"/>
        <v>12521869.180000005</v>
      </c>
    </row>
    <row r="42" spans="1:8" x14ac:dyDescent="0.25">
      <c r="A42" s="64" t="s">
        <v>267</v>
      </c>
      <c r="B42" s="104"/>
      <c r="C42" s="104"/>
      <c r="D42" s="104"/>
      <c r="E42" s="104"/>
      <c r="F42" s="104"/>
      <c r="G42" s="78">
        <f>IF((F41-B41)&lt;0,0,(F41-B41))</f>
        <v>12521869.180000007</v>
      </c>
      <c r="H42" s="101"/>
    </row>
    <row r="43" spans="1:8" x14ac:dyDescent="0.25">
      <c r="A43" s="80"/>
      <c r="B43" s="81"/>
      <c r="C43" s="81"/>
      <c r="D43" s="81"/>
      <c r="E43" s="81"/>
      <c r="F43" s="81"/>
      <c r="G43" s="81"/>
    </row>
    <row r="44" spans="1:8" x14ac:dyDescent="0.25">
      <c r="A44" s="64" t="s">
        <v>268</v>
      </c>
      <c r="B44" s="81"/>
      <c r="C44" s="81"/>
      <c r="D44" s="81"/>
      <c r="E44" s="81"/>
      <c r="F44" s="81"/>
      <c r="G44" s="81"/>
    </row>
    <row r="45" spans="1:8" x14ac:dyDescent="0.25">
      <c r="A45" s="66" t="s">
        <v>269</v>
      </c>
      <c r="B45" s="84">
        <f>SUM(B46:B53)</f>
        <v>0</v>
      </c>
      <c r="C45" s="84">
        <f>SUM(C46:C53)</f>
        <v>0</v>
      </c>
      <c r="D45" s="84">
        <f>SUM(D46:D53)</f>
        <v>0</v>
      </c>
      <c r="E45" s="84">
        <f>SUM(E46:E53)</f>
        <v>0</v>
      </c>
      <c r="F45" s="84">
        <f>SUM(F46:F53)</f>
        <v>0</v>
      </c>
      <c r="G45" s="84">
        <f>F45-B45</f>
        <v>0</v>
      </c>
    </row>
    <row r="46" spans="1:8" x14ac:dyDescent="0.25">
      <c r="A46" s="105" t="s">
        <v>270</v>
      </c>
      <c r="B46" s="84"/>
      <c r="C46" s="84"/>
      <c r="D46" s="84">
        <f>B46+C46</f>
        <v>0</v>
      </c>
      <c r="E46" s="84"/>
      <c r="F46" s="84"/>
      <c r="G46" s="84">
        <f>F46-B46</f>
        <v>0</v>
      </c>
    </row>
    <row r="47" spans="1:8" x14ac:dyDescent="0.25">
      <c r="A47" s="105" t="s">
        <v>271</v>
      </c>
      <c r="B47" s="84"/>
      <c r="C47" s="84"/>
      <c r="D47" s="84">
        <f t="shared" ref="D47:D53" si="5">B47+C47</f>
        <v>0</v>
      </c>
      <c r="E47" s="84"/>
      <c r="F47" s="84"/>
      <c r="G47" s="84">
        <f>F47-B47</f>
        <v>0</v>
      </c>
    </row>
    <row r="48" spans="1:8" x14ac:dyDescent="0.25">
      <c r="A48" s="105" t="s">
        <v>272</v>
      </c>
      <c r="B48" s="79">
        <v>0</v>
      </c>
      <c r="C48" s="79">
        <v>0</v>
      </c>
      <c r="D48" s="84">
        <f t="shared" si="5"/>
        <v>0</v>
      </c>
      <c r="E48" s="79">
        <v>0</v>
      </c>
      <c r="F48" s="79">
        <v>0</v>
      </c>
      <c r="G48" s="84">
        <f>F48-B48</f>
        <v>0</v>
      </c>
    </row>
    <row r="49" spans="1:7" ht="30" x14ac:dyDescent="0.25">
      <c r="A49" s="105" t="s">
        <v>273</v>
      </c>
      <c r="B49" s="79">
        <v>0</v>
      </c>
      <c r="C49" s="79">
        <v>0</v>
      </c>
      <c r="D49" s="84">
        <f t="shared" si="5"/>
        <v>0</v>
      </c>
      <c r="E49" s="79">
        <v>0</v>
      </c>
      <c r="F49" s="79">
        <v>0</v>
      </c>
      <c r="G49" s="84">
        <f>F49-B49</f>
        <v>0</v>
      </c>
    </row>
    <row r="50" spans="1:7" x14ac:dyDescent="0.25">
      <c r="A50" s="105" t="s">
        <v>274</v>
      </c>
      <c r="B50" s="84"/>
      <c r="C50" s="84"/>
      <c r="D50" s="84">
        <f t="shared" si="5"/>
        <v>0</v>
      </c>
      <c r="E50" s="84"/>
      <c r="F50" s="84"/>
      <c r="G50" s="84">
        <f t="shared" ref="G50:G63" si="6">F50-B50</f>
        <v>0</v>
      </c>
    </row>
    <row r="51" spans="1:7" x14ac:dyDescent="0.25">
      <c r="A51" s="105" t="s">
        <v>275</v>
      </c>
      <c r="B51" s="84"/>
      <c r="C51" s="84"/>
      <c r="D51" s="84">
        <f t="shared" si="5"/>
        <v>0</v>
      </c>
      <c r="E51" s="84"/>
      <c r="F51" s="84"/>
      <c r="G51" s="84">
        <f t="shared" si="6"/>
        <v>0</v>
      </c>
    </row>
    <row r="52" spans="1:7" ht="30" x14ac:dyDescent="0.25">
      <c r="A52" s="106" t="s">
        <v>276</v>
      </c>
      <c r="B52" s="84"/>
      <c r="C52" s="84"/>
      <c r="D52" s="84">
        <f t="shared" si="5"/>
        <v>0</v>
      </c>
      <c r="E52" s="84"/>
      <c r="F52" s="84"/>
      <c r="G52" s="84">
        <f t="shared" si="6"/>
        <v>0</v>
      </c>
    </row>
    <row r="53" spans="1:7" x14ac:dyDescent="0.25">
      <c r="A53" s="103" t="s">
        <v>277</v>
      </c>
      <c r="B53" s="84"/>
      <c r="C53" s="84"/>
      <c r="D53" s="84">
        <f t="shared" si="5"/>
        <v>0</v>
      </c>
      <c r="E53" s="84"/>
      <c r="F53" s="84"/>
      <c r="G53" s="84">
        <f t="shared" si="6"/>
        <v>0</v>
      </c>
    </row>
    <row r="54" spans="1:7" x14ac:dyDescent="0.25">
      <c r="A54" s="66" t="s">
        <v>278</v>
      </c>
      <c r="B54" s="84">
        <f>SUM(B55:B58)</f>
        <v>0</v>
      </c>
      <c r="C54" s="84">
        <f>SUM(C55:C58)</f>
        <v>0</v>
      </c>
      <c r="D54" s="84">
        <f>SUM(D55:D58)</f>
        <v>0</v>
      </c>
      <c r="E54" s="84">
        <f>SUM(E55:E58)</f>
        <v>0</v>
      </c>
      <c r="F54" s="84">
        <f>SUM(F55:F58)</f>
        <v>0</v>
      </c>
      <c r="G54" s="84">
        <f t="shared" si="6"/>
        <v>0</v>
      </c>
    </row>
    <row r="55" spans="1:7" x14ac:dyDescent="0.25">
      <c r="A55" s="106" t="s">
        <v>279</v>
      </c>
      <c r="B55" s="84"/>
      <c r="C55" s="84"/>
      <c r="D55" s="84">
        <f>B55+C55</f>
        <v>0</v>
      </c>
      <c r="E55" s="84"/>
      <c r="F55" s="84"/>
      <c r="G55" s="84">
        <f t="shared" si="6"/>
        <v>0</v>
      </c>
    </row>
    <row r="56" spans="1:7" x14ac:dyDescent="0.25">
      <c r="A56" s="105" t="s">
        <v>280</v>
      </c>
      <c r="B56" s="84"/>
      <c r="C56" s="84"/>
      <c r="D56" s="84">
        <f>B56+C56</f>
        <v>0</v>
      </c>
      <c r="E56" s="84"/>
      <c r="F56" s="84"/>
      <c r="G56" s="84">
        <f t="shared" si="6"/>
        <v>0</v>
      </c>
    </row>
    <row r="57" spans="1:7" x14ac:dyDescent="0.25">
      <c r="A57" s="105" t="s">
        <v>281</v>
      </c>
      <c r="B57" s="84"/>
      <c r="C57" s="84"/>
      <c r="D57" s="84">
        <f>B57+C57</f>
        <v>0</v>
      </c>
      <c r="E57" s="84"/>
      <c r="F57" s="84"/>
      <c r="G57" s="84">
        <f t="shared" si="6"/>
        <v>0</v>
      </c>
    </row>
    <row r="58" spans="1:7" x14ac:dyDescent="0.25">
      <c r="A58" s="106" t="s">
        <v>282</v>
      </c>
      <c r="B58" s="79">
        <v>0</v>
      </c>
      <c r="C58" s="79">
        <v>0</v>
      </c>
      <c r="D58" s="84">
        <f>B58+C58</f>
        <v>0</v>
      </c>
      <c r="E58" s="79">
        <v>0</v>
      </c>
      <c r="F58" s="79">
        <v>0</v>
      </c>
      <c r="G58" s="84">
        <f t="shared" si="6"/>
        <v>0</v>
      </c>
    </row>
    <row r="59" spans="1:7" x14ac:dyDescent="0.25">
      <c r="A59" s="66" t="s">
        <v>283</v>
      </c>
      <c r="B59" s="84">
        <f>B60+B61</f>
        <v>0</v>
      </c>
      <c r="C59" s="84">
        <f>C60+C61</f>
        <v>0</v>
      </c>
      <c r="D59" s="84">
        <f>D60+D61</f>
        <v>0</v>
      </c>
      <c r="E59" s="84">
        <f>E60+E61</f>
        <v>0</v>
      </c>
      <c r="F59" s="84">
        <f>F60+F61</f>
        <v>0</v>
      </c>
      <c r="G59" s="84">
        <f t="shared" si="6"/>
        <v>0</v>
      </c>
    </row>
    <row r="60" spans="1:7" x14ac:dyDescent="0.25">
      <c r="A60" s="105" t="s">
        <v>284</v>
      </c>
      <c r="B60" s="84"/>
      <c r="C60" s="84"/>
      <c r="D60" s="84">
        <f>B60+C60</f>
        <v>0</v>
      </c>
      <c r="E60" s="84"/>
      <c r="F60" s="84"/>
      <c r="G60" s="84">
        <f t="shared" si="6"/>
        <v>0</v>
      </c>
    </row>
    <row r="61" spans="1:7" x14ac:dyDescent="0.25">
      <c r="A61" s="105" t="s">
        <v>285</v>
      </c>
      <c r="B61" s="84"/>
      <c r="C61" s="84"/>
      <c r="D61" s="84">
        <f>B61+C61</f>
        <v>0</v>
      </c>
      <c r="E61" s="84"/>
      <c r="F61" s="84"/>
      <c r="G61" s="84">
        <f t="shared" si="6"/>
        <v>0</v>
      </c>
    </row>
    <row r="62" spans="1:7" x14ac:dyDescent="0.25">
      <c r="A62" s="66" t="s">
        <v>286</v>
      </c>
      <c r="B62" s="84"/>
      <c r="C62" s="84"/>
      <c r="D62" s="84">
        <f>B62+C62</f>
        <v>0</v>
      </c>
      <c r="E62" s="84"/>
      <c r="F62" s="84"/>
      <c r="G62" s="84">
        <f t="shared" si="6"/>
        <v>0</v>
      </c>
    </row>
    <row r="63" spans="1:7" x14ac:dyDescent="0.25">
      <c r="A63" s="66" t="s">
        <v>287</v>
      </c>
      <c r="B63" s="84"/>
      <c r="C63" s="84"/>
      <c r="D63" s="84">
        <f>B63+C63</f>
        <v>0</v>
      </c>
      <c r="E63" s="84"/>
      <c r="F63" s="84"/>
      <c r="G63" s="84">
        <f t="shared" si="6"/>
        <v>0</v>
      </c>
    </row>
    <row r="64" spans="1:7" x14ac:dyDescent="0.25">
      <c r="A64" s="80"/>
      <c r="B64" s="81"/>
      <c r="C64" s="81"/>
      <c r="D64" s="81"/>
      <c r="E64" s="81"/>
      <c r="F64" s="81"/>
      <c r="G64" s="81"/>
    </row>
    <row r="65" spans="1:7" x14ac:dyDescent="0.25">
      <c r="A65" s="64" t="s">
        <v>288</v>
      </c>
      <c r="B65" s="78">
        <f>B45+B54+B59+B62+B63</f>
        <v>0</v>
      </c>
      <c r="C65" s="78">
        <f>C45+C54+C59+C62+C63</f>
        <v>0</v>
      </c>
      <c r="D65" s="78">
        <f>D45+D54+D59+D62+D63</f>
        <v>0</v>
      </c>
      <c r="E65" s="78">
        <f>E45+E54+E59+E62+E63</f>
        <v>0</v>
      </c>
      <c r="F65" s="78">
        <f>F45+F54+F59+F62+F63</f>
        <v>0</v>
      </c>
      <c r="G65" s="78">
        <f>F65-B65</f>
        <v>0</v>
      </c>
    </row>
    <row r="66" spans="1:7" x14ac:dyDescent="0.25">
      <c r="A66" s="80"/>
      <c r="B66" s="81"/>
      <c r="C66" s="81"/>
      <c r="D66" s="81"/>
      <c r="E66" s="81"/>
      <c r="F66" s="81"/>
      <c r="G66" s="81"/>
    </row>
    <row r="67" spans="1:7" x14ac:dyDescent="0.25">
      <c r="A67" s="64" t="s">
        <v>289</v>
      </c>
      <c r="B67" s="78">
        <f t="shared" ref="B67:G67" si="7">B68</f>
        <v>0</v>
      </c>
      <c r="C67" s="78">
        <f t="shared" si="7"/>
        <v>16674078.960000001</v>
      </c>
      <c r="D67" s="78">
        <f t="shared" si="7"/>
        <v>16674078.960000001</v>
      </c>
      <c r="E67" s="78">
        <f t="shared" si="7"/>
        <v>16674078.960000001</v>
      </c>
      <c r="F67" s="78">
        <f t="shared" si="7"/>
        <v>16674078.960000001</v>
      </c>
      <c r="G67" s="78">
        <f t="shared" si="7"/>
        <v>16674078.960000001</v>
      </c>
    </row>
    <row r="68" spans="1:7" x14ac:dyDescent="0.25">
      <c r="A68" s="66" t="s">
        <v>290</v>
      </c>
      <c r="B68" s="79">
        <v>0</v>
      </c>
      <c r="C68" s="79">
        <v>16674078.960000001</v>
      </c>
      <c r="D68" s="84">
        <f>B68+C68</f>
        <v>16674078.960000001</v>
      </c>
      <c r="E68" s="79">
        <v>16674078.960000001</v>
      </c>
      <c r="F68" s="79">
        <v>16674078.960000001</v>
      </c>
      <c r="G68" s="84">
        <f>F68-B68</f>
        <v>16674078.960000001</v>
      </c>
    </row>
    <row r="69" spans="1:7" x14ac:dyDescent="0.25">
      <c r="A69" s="80"/>
      <c r="B69" s="81"/>
      <c r="C69" s="81"/>
      <c r="D69" s="81"/>
      <c r="E69" s="81"/>
      <c r="F69" s="81"/>
      <c r="G69" s="81"/>
    </row>
    <row r="70" spans="1:7" x14ac:dyDescent="0.25">
      <c r="A70" s="64" t="s">
        <v>291</v>
      </c>
      <c r="B70" s="78">
        <f t="shared" ref="B70:G70" si="8">B41+B65+B67</f>
        <v>34709337.149999999</v>
      </c>
      <c r="C70" s="78">
        <f t="shared" si="8"/>
        <v>30035179.210000001</v>
      </c>
      <c r="D70" s="78">
        <f t="shared" si="8"/>
        <v>64744516.359999999</v>
      </c>
      <c r="E70" s="78">
        <f t="shared" si="8"/>
        <v>63905285.290000007</v>
      </c>
      <c r="F70" s="78">
        <f t="shared" si="8"/>
        <v>63905285.290000007</v>
      </c>
      <c r="G70" s="78">
        <f t="shared" si="8"/>
        <v>29195948.140000008</v>
      </c>
    </row>
    <row r="71" spans="1:7" x14ac:dyDescent="0.25">
      <c r="A71" s="80"/>
      <c r="B71" s="81"/>
      <c r="C71" s="81"/>
      <c r="D71" s="81"/>
      <c r="E71" s="81"/>
      <c r="F71" s="81"/>
      <c r="G71" s="81"/>
    </row>
    <row r="72" spans="1:7" x14ac:dyDescent="0.25">
      <c r="A72" s="64" t="s">
        <v>292</v>
      </c>
      <c r="B72" s="81"/>
      <c r="C72" s="81"/>
      <c r="D72" s="81"/>
      <c r="E72" s="81"/>
      <c r="F72" s="81"/>
      <c r="G72" s="81"/>
    </row>
    <row r="73" spans="1:7" ht="30" x14ac:dyDescent="0.25">
      <c r="A73" s="107" t="s">
        <v>293</v>
      </c>
      <c r="B73" s="79">
        <v>0</v>
      </c>
      <c r="C73" s="108">
        <v>16674078.960000001</v>
      </c>
      <c r="D73" s="108">
        <v>16674078.960000001</v>
      </c>
      <c r="E73" s="79">
        <v>16674078.960000001</v>
      </c>
      <c r="F73" s="79">
        <v>16674078.960000001</v>
      </c>
      <c r="G73" s="108">
        <f>F73-B73</f>
        <v>16674078.960000001</v>
      </c>
    </row>
    <row r="74" spans="1:7" ht="30" x14ac:dyDescent="0.25">
      <c r="A74" s="107" t="s">
        <v>294</v>
      </c>
      <c r="B74" s="79">
        <v>0</v>
      </c>
      <c r="C74" s="79">
        <v>0</v>
      </c>
      <c r="D74" s="84">
        <f>B74+C74</f>
        <v>0</v>
      </c>
      <c r="E74" s="79">
        <v>0</v>
      </c>
      <c r="F74" s="79">
        <v>0</v>
      </c>
      <c r="G74" s="84">
        <f>F74-B74</f>
        <v>0</v>
      </c>
    </row>
    <row r="75" spans="1:7" x14ac:dyDescent="0.25">
      <c r="A75" s="74" t="s">
        <v>295</v>
      </c>
      <c r="B75" s="78">
        <f t="shared" ref="B75:G75" si="9">B73+B74</f>
        <v>0</v>
      </c>
      <c r="C75" s="78">
        <f t="shared" si="9"/>
        <v>16674078.960000001</v>
      </c>
      <c r="D75" s="78">
        <f t="shared" si="9"/>
        <v>16674078.960000001</v>
      </c>
      <c r="E75" s="78">
        <f t="shared" si="9"/>
        <v>16674078.960000001</v>
      </c>
      <c r="F75" s="78">
        <f t="shared" si="9"/>
        <v>16674078.960000001</v>
      </c>
      <c r="G75" s="78">
        <f t="shared" si="9"/>
        <v>16674078.960000001</v>
      </c>
    </row>
    <row r="76" spans="1:7" x14ac:dyDescent="0.25">
      <c r="A76" s="82"/>
      <c r="B76" s="97"/>
      <c r="C76" s="97"/>
      <c r="D76" s="97"/>
      <c r="E76" s="97"/>
      <c r="F76" s="97"/>
      <c r="G76" s="97"/>
    </row>
    <row r="77" spans="1:7" x14ac:dyDescent="0.25">
      <c r="B77" s="109"/>
      <c r="C77" s="109"/>
      <c r="D77" s="109"/>
      <c r="E77" s="109"/>
      <c r="F77" s="109"/>
      <c r="G77" s="109"/>
    </row>
    <row r="78" spans="1:7" x14ac:dyDescent="0.25">
      <c r="B78" s="109"/>
      <c r="C78" s="109"/>
      <c r="D78" s="109">
        <f>B78+C78</f>
        <v>0</v>
      </c>
      <c r="E78" s="109"/>
      <c r="F78" s="109"/>
      <c r="G78" s="110">
        <f>B78-F78</f>
        <v>0</v>
      </c>
    </row>
    <row r="79" spans="1:7" x14ac:dyDescent="0.25">
      <c r="B79" s="109"/>
      <c r="C79" s="109"/>
      <c r="D79" s="109"/>
      <c r="E79" s="109"/>
      <c r="F79" s="109"/>
      <c r="G79" s="110"/>
    </row>
    <row r="80" spans="1:7" x14ac:dyDescent="0.25">
      <c r="B80" s="111"/>
      <c r="C80" s="111"/>
      <c r="D80" s="111"/>
      <c r="E80" s="111"/>
      <c r="F80" s="111"/>
      <c r="G80" s="11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171"/>
  <sheetViews>
    <sheetView showGridLines="0" zoomScale="85" zoomScaleNormal="85" workbookViewId="0">
      <selection activeCell="A157" sqref="A157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 x14ac:dyDescent="0.25">
      <c r="A1" s="218" t="s">
        <v>296</v>
      </c>
      <c r="B1" s="215"/>
      <c r="C1" s="215"/>
      <c r="D1" s="215"/>
      <c r="E1" s="215"/>
      <c r="F1" s="215"/>
      <c r="G1" s="215"/>
    </row>
    <row r="2" spans="1:8" x14ac:dyDescent="0.25">
      <c r="A2" s="212" t="s">
        <v>1</v>
      </c>
      <c r="B2" s="212"/>
      <c r="C2" s="212"/>
      <c r="D2" s="212"/>
      <c r="E2" s="212"/>
      <c r="F2" s="212"/>
      <c r="G2" s="212"/>
    </row>
    <row r="3" spans="1:8" x14ac:dyDescent="0.25">
      <c r="A3" s="219" t="s">
        <v>297</v>
      </c>
      <c r="B3" s="219"/>
      <c r="C3" s="219"/>
      <c r="D3" s="219"/>
      <c r="E3" s="219"/>
      <c r="F3" s="219"/>
      <c r="G3" s="219"/>
    </row>
    <row r="4" spans="1:8" x14ac:dyDescent="0.25">
      <c r="A4" s="219" t="s">
        <v>298</v>
      </c>
      <c r="B4" s="219"/>
      <c r="C4" s="219"/>
      <c r="D4" s="219"/>
      <c r="E4" s="219"/>
      <c r="F4" s="219"/>
      <c r="G4" s="219"/>
    </row>
    <row r="5" spans="1:8" x14ac:dyDescent="0.25">
      <c r="A5" s="219" t="s">
        <v>750</v>
      </c>
      <c r="B5" s="219"/>
      <c r="C5" s="219"/>
      <c r="D5" s="219"/>
      <c r="E5" s="219"/>
      <c r="F5" s="219"/>
      <c r="G5" s="219"/>
    </row>
    <row r="6" spans="1:8" x14ac:dyDescent="0.25">
      <c r="A6" s="213" t="s">
        <v>3</v>
      </c>
      <c r="B6" s="213"/>
      <c r="C6" s="213"/>
      <c r="D6" s="213"/>
      <c r="E6" s="213"/>
      <c r="F6" s="213"/>
      <c r="G6" s="213"/>
    </row>
    <row r="7" spans="1:8" x14ac:dyDescent="0.25">
      <c r="A7" s="216" t="s">
        <v>5</v>
      </c>
      <c r="B7" s="216" t="s">
        <v>299</v>
      </c>
      <c r="C7" s="216"/>
      <c r="D7" s="216"/>
      <c r="E7" s="216"/>
      <c r="F7" s="216"/>
      <c r="G7" s="217" t="s">
        <v>300</v>
      </c>
    </row>
    <row r="8" spans="1:8" ht="30" x14ac:dyDescent="0.25">
      <c r="A8" s="216"/>
      <c r="B8" s="63" t="s">
        <v>301</v>
      </c>
      <c r="C8" s="63" t="s">
        <v>302</v>
      </c>
      <c r="D8" s="63" t="s">
        <v>303</v>
      </c>
      <c r="E8" s="63" t="s">
        <v>187</v>
      </c>
      <c r="F8" s="63" t="s">
        <v>304</v>
      </c>
      <c r="G8" s="216"/>
    </row>
    <row r="9" spans="1:8" x14ac:dyDescent="0.25">
      <c r="A9" s="184" t="s">
        <v>305</v>
      </c>
      <c r="B9" s="78">
        <f t="shared" ref="B9:G9" si="0">B10+B18+B189+B28+B38+B48+B58+B62+B71+B75</f>
        <v>34709337.149999999</v>
      </c>
      <c r="C9" s="78">
        <f t="shared" si="0"/>
        <v>29766998.82</v>
      </c>
      <c r="D9" s="78">
        <f t="shared" si="0"/>
        <v>64476335.970000014</v>
      </c>
      <c r="E9" s="78">
        <f t="shared" si="0"/>
        <v>56153033.070000008</v>
      </c>
      <c r="F9" s="78">
        <f t="shared" si="0"/>
        <v>55802895.560000002</v>
      </c>
      <c r="G9" s="78">
        <f t="shared" si="0"/>
        <v>8323302.9000000004</v>
      </c>
    </row>
    <row r="10" spans="1:8" x14ac:dyDescent="0.25">
      <c r="A10" s="185" t="s">
        <v>306</v>
      </c>
      <c r="B10" s="84">
        <f t="shared" ref="B10:G10" si="1">SUM(B11:B17)</f>
        <v>20244330.229999997</v>
      </c>
      <c r="C10" s="84">
        <f t="shared" ref="C10" si="2">SUM(C11:C17)</f>
        <v>4133857.3899999997</v>
      </c>
      <c r="D10" s="84">
        <f t="shared" ref="D10:F10" si="3">SUM(D11:D17)</f>
        <v>24378187.620000001</v>
      </c>
      <c r="E10" s="84">
        <f t="shared" si="3"/>
        <v>20780309.599999998</v>
      </c>
      <c r="F10" s="84">
        <f t="shared" si="3"/>
        <v>20522092</v>
      </c>
      <c r="G10" s="84">
        <f t="shared" si="1"/>
        <v>3597878.0200000005</v>
      </c>
    </row>
    <row r="11" spans="1:8" x14ac:dyDescent="0.25">
      <c r="A11" s="186" t="s">
        <v>307</v>
      </c>
      <c r="B11" s="79">
        <v>9711635.5199999996</v>
      </c>
      <c r="C11" s="79">
        <v>435330.16</v>
      </c>
      <c r="D11" s="84">
        <f>B11+C11</f>
        <v>10146965.68</v>
      </c>
      <c r="E11" s="79">
        <v>8497469.7699999996</v>
      </c>
      <c r="F11" s="79">
        <v>8497469.7699999996</v>
      </c>
      <c r="G11" s="84">
        <f>D11-E11</f>
        <v>1649495.9100000001</v>
      </c>
      <c r="H11" s="114" t="s">
        <v>308</v>
      </c>
    </row>
    <row r="12" spans="1:8" x14ac:dyDescent="0.25">
      <c r="A12" s="186" t="s">
        <v>309</v>
      </c>
      <c r="B12" s="79">
        <v>1698000</v>
      </c>
      <c r="C12" s="79">
        <v>1791680</v>
      </c>
      <c r="D12" s="84">
        <f t="shared" ref="D12:D17" si="4">B12+C12</f>
        <v>3489680</v>
      </c>
      <c r="E12" s="79">
        <v>3316107.77</v>
      </c>
      <c r="F12" s="79">
        <v>3316107.77</v>
      </c>
      <c r="G12" s="84">
        <f t="shared" ref="G12:G17" si="5">D12-E12</f>
        <v>173572.22999999998</v>
      </c>
      <c r="H12" s="114" t="s">
        <v>310</v>
      </c>
    </row>
    <row r="13" spans="1:8" x14ac:dyDescent="0.25">
      <c r="A13" s="186" t="s">
        <v>311</v>
      </c>
      <c r="B13" s="79">
        <v>2471290.75</v>
      </c>
      <c r="C13" s="79">
        <v>529721.31000000006</v>
      </c>
      <c r="D13" s="84">
        <f t="shared" si="4"/>
        <v>3001012.06</v>
      </c>
      <c r="E13" s="79">
        <v>2612428.0099999998</v>
      </c>
      <c r="F13" s="79">
        <v>2612428.0099999998</v>
      </c>
      <c r="G13" s="84">
        <f t="shared" si="5"/>
        <v>388584.05000000028</v>
      </c>
      <c r="H13" s="114" t="s">
        <v>312</v>
      </c>
    </row>
    <row r="14" spans="1:8" x14ac:dyDescent="0.25">
      <c r="A14" s="186" t="s">
        <v>313</v>
      </c>
      <c r="B14" s="79">
        <v>2744719.56</v>
      </c>
      <c r="C14" s="79">
        <v>8642.4</v>
      </c>
      <c r="D14" s="84">
        <f t="shared" si="4"/>
        <v>2753361.96</v>
      </c>
      <c r="E14" s="79">
        <v>2107783.12</v>
      </c>
      <c r="F14" s="79">
        <v>1863353.05</v>
      </c>
      <c r="G14" s="84">
        <f t="shared" si="5"/>
        <v>645578.83999999985</v>
      </c>
      <c r="H14" s="114" t="s">
        <v>314</v>
      </c>
    </row>
    <row r="15" spans="1:8" x14ac:dyDescent="0.25">
      <c r="A15" s="186" t="s">
        <v>315</v>
      </c>
      <c r="B15" s="79">
        <v>492100</v>
      </c>
      <c r="C15" s="79">
        <v>1226265.76</v>
      </c>
      <c r="D15" s="84">
        <f t="shared" si="4"/>
        <v>1718365.76</v>
      </c>
      <c r="E15" s="79">
        <v>1535248.72</v>
      </c>
      <c r="F15" s="79">
        <v>1521461.19</v>
      </c>
      <c r="G15" s="84">
        <f t="shared" si="5"/>
        <v>183117.04000000004</v>
      </c>
      <c r="H15" s="114" t="s">
        <v>316</v>
      </c>
    </row>
    <row r="16" spans="1:8" x14ac:dyDescent="0.25">
      <c r="A16" s="186" t="s">
        <v>317</v>
      </c>
      <c r="B16" s="84"/>
      <c r="C16" s="84"/>
      <c r="D16" s="84">
        <f t="shared" si="4"/>
        <v>0</v>
      </c>
      <c r="E16" s="84"/>
      <c r="F16" s="84"/>
      <c r="G16" s="84">
        <f t="shared" si="5"/>
        <v>0</v>
      </c>
      <c r="H16" s="114" t="s">
        <v>318</v>
      </c>
    </row>
    <row r="17" spans="1:8" x14ac:dyDescent="0.25">
      <c r="A17" s="186" t="s">
        <v>319</v>
      </c>
      <c r="B17" s="79">
        <v>3126584.4</v>
      </c>
      <c r="C17" s="79">
        <v>142217.76</v>
      </c>
      <c r="D17" s="84">
        <f t="shared" si="4"/>
        <v>3268802.16</v>
      </c>
      <c r="E17" s="79">
        <v>2711272.21</v>
      </c>
      <c r="F17" s="79">
        <v>2711272.21</v>
      </c>
      <c r="G17" s="84">
        <f t="shared" si="5"/>
        <v>557529.95000000019</v>
      </c>
      <c r="H17" s="114" t="s">
        <v>320</v>
      </c>
    </row>
    <row r="18" spans="1:8" x14ac:dyDescent="0.25">
      <c r="A18" s="185" t="s">
        <v>321</v>
      </c>
      <c r="B18" s="84">
        <f t="shared" ref="B18:G18" si="6">SUM(B19:B27)</f>
        <v>4629980</v>
      </c>
      <c r="C18" s="84">
        <f t="shared" si="6"/>
        <v>1375262.79</v>
      </c>
      <c r="D18" s="84">
        <f t="shared" si="6"/>
        <v>6005242.79</v>
      </c>
      <c r="E18" s="84">
        <f t="shared" si="6"/>
        <v>5051099.3900000006</v>
      </c>
      <c r="F18" s="84">
        <f t="shared" si="6"/>
        <v>5046164.580000001</v>
      </c>
      <c r="G18" s="84">
        <f t="shared" si="6"/>
        <v>954143.39999999967</v>
      </c>
    </row>
    <row r="19" spans="1:8" x14ac:dyDescent="0.25">
      <c r="A19" s="186" t="s">
        <v>322</v>
      </c>
      <c r="B19" s="79">
        <v>516180</v>
      </c>
      <c r="C19" s="79">
        <v>131673.17000000001</v>
      </c>
      <c r="D19" s="84">
        <f t="shared" ref="D19:D27" si="7">B19+C19</f>
        <v>647853.17000000004</v>
      </c>
      <c r="E19" s="79">
        <v>443902.32</v>
      </c>
      <c r="F19" s="79">
        <v>441117.51</v>
      </c>
      <c r="G19" s="84">
        <f t="shared" ref="G19:G27" si="8">D19-E19</f>
        <v>203950.85000000003</v>
      </c>
      <c r="H19" s="114" t="s">
        <v>323</v>
      </c>
    </row>
    <row r="20" spans="1:8" x14ac:dyDescent="0.25">
      <c r="A20" s="186" t="s">
        <v>324</v>
      </c>
      <c r="B20" s="79">
        <v>109200</v>
      </c>
      <c r="C20" s="79">
        <v>-32292.55</v>
      </c>
      <c r="D20" s="84">
        <f t="shared" si="7"/>
        <v>76907.45</v>
      </c>
      <c r="E20" s="79">
        <v>39134.639999999999</v>
      </c>
      <c r="F20" s="79">
        <v>39134.639999999999</v>
      </c>
      <c r="G20" s="84">
        <f t="shared" si="8"/>
        <v>37772.81</v>
      </c>
      <c r="H20" s="114" t="s">
        <v>325</v>
      </c>
    </row>
    <row r="21" spans="1:8" x14ac:dyDescent="0.25">
      <c r="A21" s="186" t="s">
        <v>326</v>
      </c>
      <c r="B21" s="84"/>
      <c r="C21" s="84"/>
      <c r="D21" s="84">
        <f t="shared" si="7"/>
        <v>0</v>
      </c>
      <c r="E21" s="84"/>
      <c r="F21" s="84"/>
      <c r="G21" s="84">
        <f t="shared" si="8"/>
        <v>0</v>
      </c>
      <c r="H21" s="114" t="s">
        <v>327</v>
      </c>
    </row>
    <row r="22" spans="1:8" x14ac:dyDescent="0.25">
      <c r="A22" s="186" t="s">
        <v>328</v>
      </c>
      <c r="B22" s="79">
        <v>2754000</v>
      </c>
      <c r="C22" s="79">
        <v>460905.07</v>
      </c>
      <c r="D22" s="84">
        <f t="shared" si="7"/>
        <v>3214905.07</v>
      </c>
      <c r="E22" s="79">
        <v>2770210.87</v>
      </c>
      <c r="F22" s="79">
        <v>2770210.87</v>
      </c>
      <c r="G22" s="84">
        <f t="shared" si="8"/>
        <v>444694.19999999972</v>
      </c>
      <c r="H22" s="114" t="s">
        <v>329</v>
      </c>
    </row>
    <row r="23" spans="1:8" x14ac:dyDescent="0.25">
      <c r="A23" s="186" t="s">
        <v>330</v>
      </c>
      <c r="B23" s="79">
        <v>206400</v>
      </c>
      <c r="C23" s="79">
        <v>117946.4</v>
      </c>
      <c r="D23" s="84">
        <f t="shared" si="7"/>
        <v>324346.40000000002</v>
      </c>
      <c r="E23" s="79">
        <v>231449.28</v>
      </c>
      <c r="F23" s="79">
        <v>231449.28</v>
      </c>
      <c r="G23" s="84">
        <f t="shared" si="8"/>
        <v>92897.120000000024</v>
      </c>
      <c r="H23" s="114" t="s">
        <v>331</v>
      </c>
    </row>
    <row r="24" spans="1:8" x14ac:dyDescent="0.25">
      <c r="A24" s="186" t="s">
        <v>332</v>
      </c>
      <c r="B24" s="79">
        <v>584000</v>
      </c>
      <c r="C24" s="79">
        <v>505898.26</v>
      </c>
      <c r="D24" s="84">
        <f t="shared" si="7"/>
        <v>1089898.26</v>
      </c>
      <c r="E24" s="79">
        <v>1057089.8500000001</v>
      </c>
      <c r="F24" s="79">
        <v>1057089.8500000001</v>
      </c>
      <c r="G24" s="84">
        <f t="shared" si="8"/>
        <v>32808.409999999916</v>
      </c>
      <c r="H24" s="114" t="s">
        <v>333</v>
      </c>
    </row>
    <row r="25" spans="1:8" x14ac:dyDescent="0.25">
      <c r="A25" s="186" t="s">
        <v>334</v>
      </c>
      <c r="B25" s="79">
        <v>118200</v>
      </c>
      <c r="C25" s="79">
        <v>24000</v>
      </c>
      <c r="D25" s="84">
        <f t="shared" si="7"/>
        <v>142200</v>
      </c>
      <c r="E25" s="79">
        <v>32733.49</v>
      </c>
      <c r="F25" s="79">
        <v>32733.49</v>
      </c>
      <c r="G25" s="84">
        <f t="shared" si="8"/>
        <v>109466.51</v>
      </c>
      <c r="H25" s="114" t="s">
        <v>335</v>
      </c>
    </row>
    <row r="26" spans="1:8" x14ac:dyDescent="0.25">
      <c r="A26" s="186" t="s">
        <v>336</v>
      </c>
      <c r="B26" s="84"/>
      <c r="C26" s="84"/>
      <c r="D26" s="84">
        <f t="shared" si="7"/>
        <v>0</v>
      </c>
      <c r="E26" s="84"/>
      <c r="F26" s="84"/>
      <c r="G26" s="84">
        <f t="shared" si="8"/>
        <v>0</v>
      </c>
      <c r="H26" s="114" t="s">
        <v>337</v>
      </c>
    </row>
    <row r="27" spans="1:8" x14ac:dyDescent="0.25">
      <c r="A27" s="186" t="s">
        <v>338</v>
      </c>
      <c r="B27" s="79">
        <v>342000</v>
      </c>
      <c r="C27" s="79">
        <f>167477.27-344.83</f>
        <v>167132.44</v>
      </c>
      <c r="D27" s="84">
        <f t="shared" si="7"/>
        <v>509132.44</v>
      </c>
      <c r="E27" s="79">
        <f>476923.77-344.83</f>
        <v>476578.94</v>
      </c>
      <c r="F27" s="79">
        <f>474773.77-344.83</f>
        <v>474428.94</v>
      </c>
      <c r="G27" s="84">
        <f t="shared" si="8"/>
        <v>32553.5</v>
      </c>
      <c r="H27" s="114" t="s">
        <v>339</v>
      </c>
    </row>
    <row r="28" spans="1:8" x14ac:dyDescent="0.25">
      <c r="A28" s="185" t="s">
        <v>340</v>
      </c>
      <c r="B28" s="84">
        <f t="shared" ref="B28:G28" si="9">SUM(B29:B37)</f>
        <v>9522426.9199999999</v>
      </c>
      <c r="C28" s="84">
        <f t="shared" si="9"/>
        <v>7423162.04</v>
      </c>
      <c r="D28" s="84">
        <f t="shared" si="9"/>
        <v>16945588.960000001</v>
      </c>
      <c r="E28" s="84">
        <f t="shared" si="9"/>
        <v>16039878.080000002</v>
      </c>
      <c r="F28" s="84">
        <f t="shared" si="9"/>
        <v>15955192.98</v>
      </c>
      <c r="G28" s="84">
        <f t="shared" si="9"/>
        <v>905710.87999999896</v>
      </c>
    </row>
    <row r="29" spans="1:8" x14ac:dyDescent="0.25">
      <c r="A29" s="186" t="s">
        <v>341</v>
      </c>
      <c r="B29" s="79">
        <v>4992819.96</v>
      </c>
      <c r="C29" s="79">
        <v>2836857.89</v>
      </c>
      <c r="D29" s="84">
        <f t="shared" ref="D29:D82" si="10">B29+C29</f>
        <v>7829677.8499999996</v>
      </c>
      <c r="E29" s="79">
        <v>7765259.5700000003</v>
      </c>
      <c r="F29" s="79">
        <v>7765259.5700000003</v>
      </c>
      <c r="G29" s="84">
        <f t="shared" ref="G29:G37" si="11">D29-E29</f>
        <v>64418.279999999329</v>
      </c>
      <c r="H29" s="114" t="s">
        <v>342</v>
      </c>
    </row>
    <row r="30" spans="1:8" x14ac:dyDescent="0.25">
      <c r="A30" s="186" t="s">
        <v>343</v>
      </c>
      <c r="B30" s="79">
        <v>75600</v>
      </c>
      <c r="C30" s="79">
        <v>254764</v>
      </c>
      <c r="D30" s="84">
        <f t="shared" si="10"/>
        <v>330364</v>
      </c>
      <c r="E30" s="79">
        <v>303179.19</v>
      </c>
      <c r="F30" s="79">
        <v>303179.19</v>
      </c>
      <c r="G30" s="84">
        <f t="shared" si="11"/>
        <v>27184.809999999998</v>
      </c>
      <c r="H30" s="114" t="s">
        <v>344</v>
      </c>
    </row>
    <row r="31" spans="1:8" x14ac:dyDescent="0.25">
      <c r="A31" s="186" t="s">
        <v>345</v>
      </c>
      <c r="B31" s="79">
        <v>273000</v>
      </c>
      <c r="C31" s="79">
        <v>1132270.67</v>
      </c>
      <c r="D31" s="84">
        <f t="shared" si="10"/>
        <v>1405270.67</v>
      </c>
      <c r="E31" s="79">
        <v>1261422.23</v>
      </c>
      <c r="F31" s="79">
        <v>1261422.23</v>
      </c>
      <c r="G31" s="84">
        <f t="shared" si="11"/>
        <v>143848.43999999994</v>
      </c>
      <c r="H31" s="114" t="s">
        <v>346</v>
      </c>
    </row>
    <row r="32" spans="1:8" x14ac:dyDescent="0.25">
      <c r="A32" s="186" t="s">
        <v>347</v>
      </c>
      <c r="B32" s="79">
        <v>542800</v>
      </c>
      <c r="C32" s="79">
        <v>163000</v>
      </c>
      <c r="D32" s="84">
        <f>+B32+C32</f>
        <v>705800</v>
      </c>
      <c r="E32" s="79">
        <v>673351.05</v>
      </c>
      <c r="F32" s="79">
        <v>653290.65</v>
      </c>
      <c r="G32" s="84">
        <f t="shared" si="11"/>
        <v>32448.949999999953</v>
      </c>
      <c r="H32" s="114" t="s">
        <v>348</v>
      </c>
    </row>
    <row r="33" spans="1:8" x14ac:dyDescent="0.25">
      <c r="A33" s="186" t="s">
        <v>349</v>
      </c>
      <c r="B33" s="79">
        <v>961600</v>
      </c>
      <c r="C33" s="79">
        <v>2919503.38</v>
      </c>
      <c r="D33" s="84">
        <f t="shared" si="10"/>
        <v>3881103.38</v>
      </c>
      <c r="E33" s="79">
        <v>3752231.16</v>
      </c>
      <c r="F33" s="79">
        <v>3746001.16</v>
      </c>
      <c r="G33" s="84">
        <f t="shared" si="11"/>
        <v>128872.21999999974</v>
      </c>
      <c r="H33" s="114" t="s">
        <v>350</v>
      </c>
    </row>
    <row r="34" spans="1:8" x14ac:dyDescent="0.25">
      <c r="A34" s="186" t="s">
        <v>351</v>
      </c>
      <c r="B34" s="79">
        <v>65400</v>
      </c>
      <c r="C34" s="79">
        <v>7000</v>
      </c>
      <c r="D34" s="84">
        <f t="shared" si="10"/>
        <v>72400</v>
      </c>
      <c r="E34" s="79">
        <v>28000</v>
      </c>
      <c r="F34" s="79">
        <v>28000</v>
      </c>
      <c r="G34" s="84">
        <f t="shared" si="11"/>
        <v>44400</v>
      </c>
      <c r="H34" s="114" t="s">
        <v>352</v>
      </c>
    </row>
    <row r="35" spans="1:8" x14ac:dyDescent="0.25">
      <c r="A35" s="186" t="s">
        <v>353</v>
      </c>
      <c r="B35" s="79">
        <v>49200</v>
      </c>
      <c r="C35" s="79">
        <v>0</v>
      </c>
      <c r="D35" s="84">
        <f t="shared" si="10"/>
        <v>49200</v>
      </c>
      <c r="E35" s="79">
        <v>8490.42</v>
      </c>
      <c r="F35" s="79">
        <v>8490.42</v>
      </c>
      <c r="G35" s="84">
        <f t="shared" si="11"/>
        <v>40709.58</v>
      </c>
      <c r="H35" s="114" t="s">
        <v>354</v>
      </c>
    </row>
    <row r="36" spans="1:8" x14ac:dyDescent="0.25">
      <c r="A36" s="186" t="s">
        <v>355</v>
      </c>
      <c r="B36" s="79">
        <v>242129.96</v>
      </c>
      <c r="C36" s="79">
        <v>-29400</v>
      </c>
      <c r="D36" s="84">
        <f t="shared" si="10"/>
        <v>212729.96</v>
      </c>
      <c r="E36" s="79">
        <v>46222.34</v>
      </c>
      <c r="F36" s="79">
        <v>46222.34</v>
      </c>
      <c r="G36" s="84">
        <f t="shared" si="11"/>
        <v>166507.62</v>
      </c>
      <c r="H36" s="114" t="s">
        <v>356</v>
      </c>
    </row>
    <row r="37" spans="1:8" x14ac:dyDescent="0.25">
      <c r="A37" s="186" t="s">
        <v>357</v>
      </c>
      <c r="B37" s="79">
        <v>2319877</v>
      </c>
      <c r="C37" s="79">
        <v>139166.1</v>
      </c>
      <c r="D37" s="84">
        <f t="shared" si="10"/>
        <v>2459043.1</v>
      </c>
      <c r="E37" s="79">
        <v>2201722.12</v>
      </c>
      <c r="F37" s="79">
        <v>2143327.42</v>
      </c>
      <c r="G37" s="84">
        <f t="shared" si="11"/>
        <v>257320.97999999998</v>
      </c>
      <c r="H37" s="114" t="s">
        <v>358</v>
      </c>
    </row>
    <row r="38" spans="1:8" x14ac:dyDescent="0.25">
      <c r="A38" s="185" t="s">
        <v>359</v>
      </c>
      <c r="B38" s="84">
        <f t="shared" ref="B38:G38" si="12">SUM(B39:B47)</f>
        <v>0</v>
      </c>
      <c r="C38" s="84">
        <f t="shared" si="12"/>
        <v>158687.45000000001</v>
      </c>
      <c r="D38" s="84">
        <f t="shared" si="12"/>
        <v>158687.45000000001</v>
      </c>
      <c r="E38" s="84">
        <f t="shared" si="12"/>
        <v>10768.45</v>
      </c>
      <c r="F38" s="84">
        <f t="shared" si="12"/>
        <v>10768.45</v>
      </c>
      <c r="G38" s="84">
        <f t="shared" si="12"/>
        <v>147919</v>
      </c>
    </row>
    <row r="39" spans="1:8" x14ac:dyDescent="0.25">
      <c r="A39" s="186" t="s">
        <v>360</v>
      </c>
      <c r="B39" s="84"/>
      <c r="C39" s="84"/>
      <c r="D39" s="84">
        <f t="shared" si="10"/>
        <v>0</v>
      </c>
      <c r="E39" s="84"/>
      <c r="F39" s="84"/>
      <c r="G39" s="84">
        <f t="shared" ref="G39:G47" si="13">D39-E39</f>
        <v>0</v>
      </c>
      <c r="H39" s="114" t="s">
        <v>361</v>
      </c>
    </row>
    <row r="40" spans="1:8" x14ac:dyDescent="0.25">
      <c r="A40" s="186" t="s">
        <v>362</v>
      </c>
      <c r="B40" s="84"/>
      <c r="C40" s="79">
        <v>147919</v>
      </c>
      <c r="D40" s="84">
        <f t="shared" si="10"/>
        <v>147919</v>
      </c>
      <c r="E40" s="79">
        <v>0</v>
      </c>
      <c r="F40" s="79">
        <v>0</v>
      </c>
      <c r="G40" s="84">
        <f t="shared" si="13"/>
        <v>147919</v>
      </c>
      <c r="H40" s="114" t="s">
        <v>363</v>
      </c>
    </row>
    <row r="41" spans="1:8" x14ac:dyDescent="0.25">
      <c r="A41" s="186" t="s">
        <v>364</v>
      </c>
      <c r="B41" s="84"/>
      <c r="C41" s="84"/>
      <c r="D41" s="84">
        <f t="shared" si="10"/>
        <v>0</v>
      </c>
      <c r="E41" s="84"/>
      <c r="F41" s="84"/>
      <c r="G41" s="84">
        <f t="shared" si="13"/>
        <v>0</v>
      </c>
      <c r="H41" s="114" t="s">
        <v>365</v>
      </c>
    </row>
    <row r="42" spans="1:8" x14ac:dyDescent="0.25">
      <c r="A42" s="186" t="s">
        <v>366</v>
      </c>
      <c r="B42" s="84"/>
      <c r="C42" s="79">
        <v>10768.45</v>
      </c>
      <c r="D42" s="84">
        <f t="shared" si="10"/>
        <v>10768.45</v>
      </c>
      <c r="E42" s="79">
        <v>10768.45</v>
      </c>
      <c r="F42" s="79">
        <v>10768.45</v>
      </c>
      <c r="G42" s="84">
        <f t="shared" si="13"/>
        <v>0</v>
      </c>
      <c r="H42" s="114" t="s">
        <v>367</v>
      </c>
    </row>
    <row r="43" spans="1:8" x14ac:dyDescent="0.25">
      <c r="A43" s="186" t="s">
        <v>368</v>
      </c>
      <c r="B43" s="84"/>
      <c r="C43" s="84"/>
      <c r="D43" s="84">
        <f t="shared" si="10"/>
        <v>0</v>
      </c>
      <c r="E43" s="84"/>
      <c r="F43" s="84"/>
      <c r="G43" s="84">
        <f t="shared" si="13"/>
        <v>0</v>
      </c>
      <c r="H43" s="114" t="s">
        <v>369</v>
      </c>
    </row>
    <row r="44" spans="1:8" x14ac:dyDescent="0.25">
      <c r="A44" s="186" t="s">
        <v>370</v>
      </c>
      <c r="B44" s="84"/>
      <c r="C44" s="84"/>
      <c r="D44" s="84">
        <f t="shared" si="10"/>
        <v>0</v>
      </c>
      <c r="E44" s="84"/>
      <c r="F44" s="84"/>
      <c r="G44" s="84">
        <f t="shared" si="13"/>
        <v>0</v>
      </c>
      <c r="H44" s="114" t="s">
        <v>371</v>
      </c>
    </row>
    <row r="45" spans="1:8" x14ac:dyDescent="0.25">
      <c r="A45" s="186" t="s">
        <v>372</v>
      </c>
      <c r="B45" s="84"/>
      <c r="C45" s="84"/>
      <c r="D45" s="84">
        <f t="shared" si="10"/>
        <v>0</v>
      </c>
      <c r="E45" s="84"/>
      <c r="F45" s="84"/>
      <c r="G45" s="84">
        <f t="shared" si="13"/>
        <v>0</v>
      </c>
      <c r="H45" s="114" t="s">
        <v>373</v>
      </c>
    </row>
    <row r="46" spans="1:8" x14ac:dyDescent="0.25">
      <c r="A46" s="186" t="s">
        <v>374</v>
      </c>
      <c r="B46" s="84"/>
      <c r="C46" s="84"/>
      <c r="D46" s="84">
        <f t="shared" si="10"/>
        <v>0</v>
      </c>
      <c r="E46" s="84"/>
      <c r="F46" s="84"/>
      <c r="G46" s="84">
        <f t="shared" si="13"/>
        <v>0</v>
      </c>
      <c r="H46" s="114" t="s">
        <v>375</v>
      </c>
    </row>
    <row r="47" spans="1:8" x14ac:dyDescent="0.25">
      <c r="A47" s="186" t="s">
        <v>376</v>
      </c>
      <c r="B47" s="84"/>
      <c r="C47" s="84"/>
      <c r="D47" s="84">
        <f t="shared" si="10"/>
        <v>0</v>
      </c>
      <c r="E47" s="84"/>
      <c r="F47" s="84"/>
      <c r="G47" s="84">
        <f t="shared" si="13"/>
        <v>0</v>
      </c>
      <c r="H47" s="114" t="s">
        <v>377</v>
      </c>
    </row>
    <row r="48" spans="1:8" x14ac:dyDescent="0.25">
      <c r="A48" s="185" t="s">
        <v>378</v>
      </c>
      <c r="B48" s="84">
        <f t="shared" ref="B48:G48" si="14">SUM(B49:B57)</f>
        <v>162600</v>
      </c>
      <c r="C48" s="84">
        <f t="shared" si="14"/>
        <v>1588360.5</v>
      </c>
      <c r="D48" s="84">
        <f t="shared" si="14"/>
        <v>1750960.5</v>
      </c>
      <c r="E48" s="84">
        <f t="shared" si="14"/>
        <v>1261968.68</v>
      </c>
      <c r="F48" s="84">
        <f t="shared" si="14"/>
        <v>1261078.68</v>
      </c>
      <c r="G48" s="84">
        <f t="shared" si="14"/>
        <v>488991.81999999995</v>
      </c>
    </row>
    <row r="49" spans="1:9" x14ac:dyDescent="0.25">
      <c r="A49" s="186" t="s">
        <v>379</v>
      </c>
      <c r="B49" s="79">
        <v>136600</v>
      </c>
      <c r="C49" s="79">
        <v>457826.22</v>
      </c>
      <c r="D49" s="84">
        <f t="shared" si="10"/>
        <v>594426.22</v>
      </c>
      <c r="E49" s="79">
        <v>128826.22</v>
      </c>
      <c r="F49" s="79">
        <v>128826.22</v>
      </c>
      <c r="G49" s="84">
        <f t="shared" ref="G49:G57" si="15">D49-E49</f>
        <v>465600</v>
      </c>
      <c r="H49" s="114" t="s">
        <v>380</v>
      </c>
    </row>
    <row r="50" spans="1:9" x14ac:dyDescent="0.25">
      <c r="A50" s="186" t="s">
        <v>381</v>
      </c>
      <c r="B50" s="84"/>
      <c r="C50" s="79">
        <f>68735.56-67835.56</f>
        <v>900</v>
      </c>
      <c r="D50" s="84">
        <f t="shared" si="10"/>
        <v>900</v>
      </c>
      <c r="E50" s="79">
        <f>68725.56-67835.56</f>
        <v>890</v>
      </c>
      <c r="F50" s="79">
        <f>67835.56-67835.56</f>
        <v>0</v>
      </c>
      <c r="G50" s="84">
        <f t="shared" si="15"/>
        <v>10</v>
      </c>
      <c r="H50" s="114" t="s">
        <v>382</v>
      </c>
    </row>
    <row r="51" spans="1:9" x14ac:dyDescent="0.25">
      <c r="A51" s="186" t="s">
        <v>383</v>
      </c>
      <c r="B51" s="84"/>
      <c r="C51" s="84"/>
      <c r="D51" s="84">
        <f t="shared" si="10"/>
        <v>0</v>
      </c>
      <c r="E51" s="84"/>
      <c r="F51" s="84"/>
      <c r="G51" s="84">
        <f t="shared" si="15"/>
        <v>0</v>
      </c>
      <c r="H51" s="114" t="s">
        <v>384</v>
      </c>
      <c r="I51" s="94"/>
    </row>
    <row r="52" spans="1:9" x14ac:dyDescent="0.25">
      <c r="A52" s="186" t="s">
        <v>385</v>
      </c>
      <c r="B52" s="79">
        <v>12000</v>
      </c>
      <c r="C52" s="79">
        <v>211300.86</v>
      </c>
      <c r="D52" s="84">
        <f t="shared" si="10"/>
        <v>223300.86</v>
      </c>
      <c r="E52" s="79">
        <v>11400</v>
      </c>
      <c r="F52" s="79">
        <v>11400</v>
      </c>
      <c r="G52" s="84">
        <f t="shared" si="15"/>
        <v>211900.86</v>
      </c>
      <c r="H52" s="114" t="s">
        <v>386</v>
      </c>
    </row>
    <row r="53" spans="1:9" x14ac:dyDescent="0.25">
      <c r="A53" s="186" t="s">
        <v>387</v>
      </c>
      <c r="B53" s="84"/>
      <c r="C53" s="84"/>
      <c r="D53" s="84">
        <f t="shared" si="10"/>
        <v>0</v>
      </c>
      <c r="E53" s="84"/>
      <c r="F53" s="84"/>
      <c r="G53" s="84">
        <f t="shared" si="15"/>
        <v>0</v>
      </c>
      <c r="H53" s="114" t="s">
        <v>388</v>
      </c>
    </row>
    <row r="54" spans="1:9" x14ac:dyDescent="0.25">
      <c r="A54" s="186" t="s">
        <v>389</v>
      </c>
      <c r="B54" s="79">
        <v>14000</v>
      </c>
      <c r="C54" s="79">
        <f>1108161.02-200000</f>
        <v>908161.02</v>
      </c>
      <c r="D54" s="84">
        <f t="shared" si="10"/>
        <v>922161.02</v>
      </c>
      <c r="E54" s="79">
        <v>1110680.06</v>
      </c>
      <c r="F54" s="79">
        <v>1110680.06</v>
      </c>
      <c r="G54" s="84">
        <f t="shared" si="15"/>
        <v>-188519.04000000004</v>
      </c>
      <c r="H54" s="114" t="s">
        <v>390</v>
      </c>
    </row>
    <row r="55" spans="1:9" x14ac:dyDescent="0.25">
      <c r="A55" s="186" t="s">
        <v>391</v>
      </c>
      <c r="B55" s="84"/>
      <c r="C55" s="84"/>
      <c r="D55" s="84">
        <f t="shared" si="10"/>
        <v>0</v>
      </c>
      <c r="E55" s="84"/>
      <c r="F55" s="84"/>
      <c r="G55" s="84">
        <f t="shared" si="15"/>
        <v>0</v>
      </c>
      <c r="H55" s="114" t="s">
        <v>392</v>
      </c>
    </row>
    <row r="56" spans="1:9" x14ac:dyDescent="0.25">
      <c r="A56" s="186" t="s">
        <v>393</v>
      </c>
      <c r="B56" s="79">
        <v>0</v>
      </c>
      <c r="C56" s="79">
        <v>0</v>
      </c>
      <c r="D56" s="84">
        <f t="shared" si="10"/>
        <v>0</v>
      </c>
      <c r="E56" s="79">
        <v>0</v>
      </c>
      <c r="F56" s="79">
        <v>0</v>
      </c>
      <c r="G56" s="84">
        <f t="shared" si="15"/>
        <v>0</v>
      </c>
      <c r="H56" s="114" t="s">
        <v>394</v>
      </c>
    </row>
    <row r="57" spans="1:9" x14ac:dyDescent="0.25">
      <c r="A57" s="186" t="s">
        <v>395</v>
      </c>
      <c r="B57" s="79">
        <v>0</v>
      </c>
      <c r="C57" s="79">
        <v>10172.4</v>
      </c>
      <c r="D57" s="84">
        <f t="shared" si="10"/>
        <v>10172.4</v>
      </c>
      <c r="E57" s="79">
        <v>10172.4</v>
      </c>
      <c r="F57" s="79">
        <v>10172.4</v>
      </c>
      <c r="G57" s="84">
        <f t="shared" si="15"/>
        <v>0</v>
      </c>
      <c r="H57" s="114" t="s">
        <v>396</v>
      </c>
    </row>
    <row r="58" spans="1:9" x14ac:dyDescent="0.25">
      <c r="A58" s="185" t="s">
        <v>397</v>
      </c>
      <c r="B58" s="84">
        <f t="shared" ref="B58:G58" si="16">SUM(B59:B61)</f>
        <v>150000</v>
      </c>
      <c r="C58" s="84">
        <f t="shared" si="16"/>
        <v>15087668.650000002</v>
      </c>
      <c r="D58" s="84">
        <f t="shared" si="16"/>
        <v>15237668.650000002</v>
      </c>
      <c r="E58" s="84">
        <f t="shared" si="16"/>
        <v>13009008.870000001</v>
      </c>
      <c r="F58" s="84">
        <f t="shared" si="16"/>
        <v>13007598.870000001</v>
      </c>
      <c r="G58" s="84">
        <f t="shared" si="16"/>
        <v>2228659.7800000007</v>
      </c>
    </row>
    <row r="59" spans="1:9" x14ac:dyDescent="0.25">
      <c r="A59" s="186" t="s">
        <v>398</v>
      </c>
      <c r="B59" s="79">
        <v>0</v>
      </c>
      <c r="C59" s="79">
        <v>14732647.960000001</v>
      </c>
      <c r="D59" s="84">
        <f t="shared" ref="D59:D61" si="17">B59+C59</f>
        <v>14732647.960000001</v>
      </c>
      <c r="E59" s="79">
        <v>12504799.99</v>
      </c>
      <c r="F59" s="79">
        <v>12503389.99</v>
      </c>
      <c r="G59" s="84">
        <f>D59-E59</f>
        <v>2227847.9700000007</v>
      </c>
      <c r="H59" s="114" t="s">
        <v>399</v>
      </c>
    </row>
    <row r="60" spans="1:9" x14ac:dyDescent="0.25">
      <c r="A60" s="186" t="s">
        <v>400</v>
      </c>
      <c r="B60" s="79">
        <v>0</v>
      </c>
      <c r="C60" s="79">
        <v>260296.55</v>
      </c>
      <c r="D60" s="84">
        <f t="shared" si="17"/>
        <v>260296.55</v>
      </c>
      <c r="E60" s="79">
        <v>259484.74</v>
      </c>
      <c r="F60" s="79">
        <v>259484.74</v>
      </c>
      <c r="G60" s="84">
        <f>D60-E60</f>
        <v>811.80999999999767</v>
      </c>
      <c r="H60" s="114" t="s">
        <v>401</v>
      </c>
    </row>
    <row r="61" spans="1:9" x14ac:dyDescent="0.25">
      <c r="A61" s="186" t="s">
        <v>402</v>
      </c>
      <c r="B61" s="79">
        <v>150000</v>
      </c>
      <c r="C61" s="79">
        <v>94724.14</v>
      </c>
      <c r="D61" s="84">
        <f t="shared" si="17"/>
        <v>244724.14</v>
      </c>
      <c r="E61" s="79">
        <v>244724.14</v>
      </c>
      <c r="F61" s="79">
        <v>244724.14</v>
      </c>
      <c r="G61" s="84">
        <f>D61-E61</f>
        <v>0</v>
      </c>
      <c r="H61" s="114" t="s">
        <v>403</v>
      </c>
    </row>
    <row r="62" spans="1:9" x14ac:dyDescent="0.25">
      <c r="A62" s="185" t="s">
        <v>404</v>
      </c>
      <c r="B62" s="84">
        <f t="shared" ref="B62:G62" si="18">SUM(B63:B67,B69:B70)</f>
        <v>0</v>
      </c>
      <c r="C62" s="84">
        <f t="shared" si="18"/>
        <v>0</v>
      </c>
      <c r="D62" s="84">
        <f t="shared" si="18"/>
        <v>0</v>
      </c>
      <c r="E62" s="84">
        <f t="shared" si="18"/>
        <v>0</v>
      </c>
      <c r="F62" s="84">
        <f t="shared" si="18"/>
        <v>0</v>
      </c>
      <c r="G62" s="84">
        <f t="shared" si="18"/>
        <v>0</v>
      </c>
    </row>
    <row r="63" spans="1:9" x14ac:dyDescent="0.25">
      <c r="A63" s="186" t="s">
        <v>405</v>
      </c>
      <c r="B63" s="84"/>
      <c r="C63" s="84"/>
      <c r="D63" s="84">
        <f t="shared" si="10"/>
        <v>0</v>
      </c>
      <c r="E63" s="84"/>
      <c r="F63" s="84"/>
      <c r="G63" s="84">
        <f t="shared" ref="G63:G70" si="19">D63-E63</f>
        <v>0</v>
      </c>
      <c r="H63" s="114" t="s">
        <v>406</v>
      </c>
    </row>
    <row r="64" spans="1:9" x14ac:dyDescent="0.25">
      <c r="A64" s="186" t="s">
        <v>407</v>
      </c>
      <c r="B64" s="84"/>
      <c r="C64" s="84"/>
      <c r="D64" s="84">
        <f t="shared" si="10"/>
        <v>0</v>
      </c>
      <c r="E64" s="84"/>
      <c r="F64" s="84"/>
      <c r="G64" s="84">
        <f t="shared" si="19"/>
        <v>0</v>
      </c>
      <c r="H64" s="114" t="s">
        <v>408</v>
      </c>
    </row>
    <row r="65" spans="1:8" x14ac:dyDescent="0.25">
      <c r="A65" s="186" t="s">
        <v>409</v>
      </c>
      <c r="B65" s="84"/>
      <c r="C65" s="84"/>
      <c r="D65" s="84">
        <f t="shared" si="10"/>
        <v>0</v>
      </c>
      <c r="E65" s="84"/>
      <c r="F65" s="84"/>
      <c r="G65" s="84">
        <f t="shared" si="19"/>
        <v>0</v>
      </c>
      <c r="H65" s="114" t="s">
        <v>410</v>
      </c>
    </row>
    <row r="66" spans="1:8" x14ac:dyDescent="0.25">
      <c r="A66" s="186" t="s">
        <v>411</v>
      </c>
      <c r="B66" s="84"/>
      <c r="C66" s="84"/>
      <c r="D66" s="84">
        <f t="shared" si="10"/>
        <v>0</v>
      </c>
      <c r="E66" s="84"/>
      <c r="F66" s="84"/>
      <c r="G66" s="84">
        <f t="shared" si="19"/>
        <v>0</v>
      </c>
      <c r="H66" s="114" t="s">
        <v>412</v>
      </c>
    </row>
    <row r="67" spans="1:8" x14ac:dyDescent="0.25">
      <c r="A67" s="186" t="s">
        <v>413</v>
      </c>
      <c r="B67" s="84"/>
      <c r="C67" s="84"/>
      <c r="D67" s="84">
        <f t="shared" si="10"/>
        <v>0</v>
      </c>
      <c r="E67" s="84"/>
      <c r="F67" s="84"/>
      <c r="G67" s="84">
        <f t="shared" si="19"/>
        <v>0</v>
      </c>
      <c r="H67" s="114" t="s">
        <v>414</v>
      </c>
    </row>
    <row r="68" spans="1:8" x14ac:dyDescent="0.25">
      <c r="A68" s="186" t="s">
        <v>415</v>
      </c>
      <c r="B68" s="84"/>
      <c r="C68" s="84"/>
      <c r="D68" s="84">
        <f t="shared" si="10"/>
        <v>0</v>
      </c>
      <c r="E68" s="84"/>
      <c r="F68" s="84"/>
      <c r="G68" s="84">
        <f t="shared" si="19"/>
        <v>0</v>
      </c>
      <c r="H68" s="114"/>
    </row>
    <row r="69" spans="1:8" x14ac:dyDescent="0.25">
      <c r="A69" s="186" t="s">
        <v>416</v>
      </c>
      <c r="B69" s="84"/>
      <c r="C69" s="84"/>
      <c r="D69" s="84">
        <f t="shared" si="10"/>
        <v>0</v>
      </c>
      <c r="E69" s="84"/>
      <c r="F69" s="84"/>
      <c r="G69" s="84">
        <f t="shared" si="19"/>
        <v>0</v>
      </c>
      <c r="H69" s="114" t="s">
        <v>417</v>
      </c>
    </row>
    <row r="70" spans="1:8" x14ac:dyDescent="0.25">
      <c r="A70" s="186" t="s">
        <v>418</v>
      </c>
      <c r="B70" s="84"/>
      <c r="C70" s="84"/>
      <c r="D70" s="84">
        <f t="shared" si="10"/>
        <v>0</v>
      </c>
      <c r="E70" s="84"/>
      <c r="F70" s="84"/>
      <c r="G70" s="84">
        <f t="shared" si="19"/>
        <v>0</v>
      </c>
      <c r="H70" s="114" t="s">
        <v>419</v>
      </c>
    </row>
    <row r="71" spans="1:8" x14ac:dyDescent="0.25">
      <c r="A71" s="185" t="s">
        <v>420</v>
      </c>
      <c r="B71" s="84">
        <f t="shared" ref="B71:G71" si="20">SUM(B72:B74)</f>
        <v>0</v>
      </c>
      <c r="C71" s="84">
        <f t="shared" si="20"/>
        <v>0</v>
      </c>
      <c r="D71" s="84">
        <f t="shared" si="20"/>
        <v>0</v>
      </c>
      <c r="E71" s="84">
        <f t="shared" si="20"/>
        <v>0</v>
      </c>
      <c r="F71" s="84">
        <f t="shared" si="20"/>
        <v>0</v>
      </c>
      <c r="G71" s="84">
        <f t="shared" si="20"/>
        <v>0</v>
      </c>
    </row>
    <row r="72" spans="1:8" x14ac:dyDescent="0.25">
      <c r="A72" s="186" t="s">
        <v>421</v>
      </c>
      <c r="B72" s="84"/>
      <c r="C72" s="84"/>
      <c r="D72" s="84">
        <f t="shared" si="10"/>
        <v>0</v>
      </c>
      <c r="E72" s="84"/>
      <c r="F72" s="84"/>
      <c r="G72" s="84">
        <f>D72-E72</f>
        <v>0</v>
      </c>
      <c r="H72" s="114" t="s">
        <v>422</v>
      </c>
    </row>
    <row r="73" spans="1:8" x14ac:dyDescent="0.25">
      <c r="A73" s="186" t="s">
        <v>423</v>
      </c>
      <c r="B73" s="84"/>
      <c r="C73" s="84"/>
      <c r="D73" s="84">
        <f t="shared" si="10"/>
        <v>0</v>
      </c>
      <c r="E73" s="84"/>
      <c r="F73" s="84"/>
      <c r="G73" s="84">
        <f>D73-E73</f>
        <v>0</v>
      </c>
      <c r="H73" s="114" t="s">
        <v>424</v>
      </c>
    </row>
    <row r="74" spans="1:8" x14ac:dyDescent="0.25">
      <c r="A74" s="186" t="s">
        <v>425</v>
      </c>
      <c r="B74" s="84"/>
      <c r="C74" s="84"/>
      <c r="D74" s="84">
        <f t="shared" si="10"/>
        <v>0</v>
      </c>
      <c r="E74" s="84"/>
      <c r="F74" s="84"/>
      <c r="G74" s="84">
        <f>D74-E74</f>
        <v>0</v>
      </c>
      <c r="H74" s="114" t="s">
        <v>426</v>
      </c>
    </row>
    <row r="75" spans="1:8" x14ac:dyDescent="0.25">
      <c r="A75" s="185" t="s">
        <v>427</v>
      </c>
      <c r="B75" s="84">
        <f t="shared" ref="B75:G75" si="21">SUM(B76:B82)</f>
        <v>0</v>
      </c>
      <c r="C75" s="84">
        <f t="shared" si="21"/>
        <v>0</v>
      </c>
      <c r="D75" s="84">
        <f t="shared" si="21"/>
        <v>0</v>
      </c>
      <c r="E75" s="84">
        <f t="shared" si="21"/>
        <v>0</v>
      </c>
      <c r="F75" s="84">
        <f t="shared" si="21"/>
        <v>0</v>
      </c>
      <c r="G75" s="84">
        <f t="shared" si="21"/>
        <v>0</v>
      </c>
    </row>
    <row r="76" spans="1:8" x14ac:dyDescent="0.25">
      <c r="A76" s="186" t="s">
        <v>428</v>
      </c>
      <c r="B76" s="84"/>
      <c r="C76" s="84"/>
      <c r="D76" s="84">
        <f t="shared" si="10"/>
        <v>0</v>
      </c>
      <c r="E76" s="84"/>
      <c r="F76" s="84"/>
      <c r="G76" s="84">
        <f t="shared" ref="G76:G82" si="22">D76-E76</f>
        <v>0</v>
      </c>
      <c r="H76" s="114" t="s">
        <v>429</v>
      </c>
    </row>
    <row r="77" spans="1:8" x14ac:dyDescent="0.25">
      <c r="A77" s="186" t="s">
        <v>430</v>
      </c>
      <c r="B77" s="84"/>
      <c r="C77" s="84"/>
      <c r="D77" s="84">
        <f t="shared" si="10"/>
        <v>0</v>
      </c>
      <c r="E77" s="84"/>
      <c r="F77" s="84"/>
      <c r="G77" s="84">
        <f t="shared" si="22"/>
        <v>0</v>
      </c>
      <c r="H77" s="114" t="s">
        <v>431</v>
      </c>
    </row>
    <row r="78" spans="1:8" x14ac:dyDescent="0.25">
      <c r="A78" s="186" t="s">
        <v>432</v>
      </c>
      <c r="B78" s="84"/>
      <c r="C78" s="84"/>
      <c r="D78" s="84">
        <f t="shared" si="10"/>
        <v>0</v>
      </c>
      <c r="E78" s="84"/>
      <c r="F78" s="84"/>
      <c r="G78" s="84">
        <f t="shared" si="22"/>
        <v>0</v>
      </c>
      <c r="H78" s="114" t="s">
        <v>433</v>
      </c>
    </row>
    <row r="79" spans="1:8" x14ac:dyDescent="0.25">
      <c r="A79" s="186" t="s">
        <v>434</v>
      </c>
      <c r="B79" s="84"/>
      <c r="C79" s="84"/>
      <c r="D79" s="84">
        <f t="shared" si="10"/>
        <v>0</v>
      </c>
      <c r="E79" s="84"/>
      <c r="F79" s="84"/>
      <c r="G79" s="84">
        <f t="shared" si="22"/>
        <v>0</v>
      </c>
      <c r="H79" s="114" t="s">
        <v>435</v>
      </c>
    </row>
    <row r="80" spans="1:8" x14ac:dyDescent="0.25">
      <c r="A80" s="186" t="s">
        <v>436</v>
      </c>
      <c r="B80" s="84"/>
      <c r="C80" s="84"/>
      <c r="D80" s="84">
        <f t="shared" si="10"/>
        <v>0</v>
      </c>
      <c r="E80" s="84"/>
      <c r="F80" s="84"/>
      <c r="G80" s="84">
        <f t="shared" si="22"/>
        <v>0</v>
      </c>
      <c r="H80" s="114" t="s">
        <v>437</v>
      </c>
    </row>
    <row r="81" spans="1:8" x14ac:dyDescent="0.25">
      <c r="A81" s="186" t="s">
        <v>438</v>
      </c>
      <c r="B81" s="84"/>
      <c r="C81" s="84"/>
      <c r="D81" s="84">
        <f t="shared" si="10"/>
        <v>0</v>
      </c>
      <c r="E81" s="84"/>
      <c r="F81" s="84"/>
      <c r="G81" s="84">
        <f t="shared" si="22"/>
        <v>0</v>
      </c>
      <c r="H81" s="114" t="s">
        <v>439</v>
      </c>
    </row>
    <row r="82" spans="1:8" x14ac:dyDescent="0.25">
      <c r="A82" s="186" t="s">
        <v>440</v>
      </c>
      <c r="B82" s="84"/>
      <c r="C82" s="84"/>
      <c r="D82" s="84">
        <f t="shared" si="10"/>
        <v>0</v>
      </c>
      <c r="E82" s="84"/>
      <c r="F82" s="84"/>
      <c r="G82" s="84">
        <f t="shared" si="22"/>
        <v>0</v>
      </c>
      <c r="H82" s="114" t="s">
        <v>441</v>
      </c>
    </row>
    <row r="83" spans="1:8" x14ac:dyDescent="0.25">
      <c r="A83" s="187"/>
      <c r="B83" s="81"/>
      <c r="C83" s="81"/>
      <c r="D83" s="81"/>
      <c r="E83" s="81"/>
      <c r="F83" s="81"/>
      <c r="G83" s="81"/>
    </row>
    <row r="84" spans="1:8" x14ac:dyDescent="0.25">
      <c r="A84" s="188" t="s">
        <v>442</v>
      </c>
      <c r="B84" s="78">
        <f t="shared" ref="B84:G84" si="23">B85+B93+B103+B113+B123+B133+B137+B146+B150</f>
        <v>0</v>
      </c>
      <c r="C84" s="78">
        <f t="shared" si="23"/>
        <v>268180.39</v>
      </c>
      <c r="D84" s="78">
        <f t="shared" si="23"/>
        <v>268180.39</v>
      </c>
      <c r="E84" s="78">
        <f t="shared" si="23"/>
        <v>68180.39</v>
      </c>
      <c r="F84" s="78">
        <f t="shared" si="23"/>
        <v>68180.39</v>
      </c>
      <c r="G84" s="78">
        <f t="shared" si="23"/>
        <v>200000</v>
      </c>
    </row>
    <row r="85" spans="1:8" x14ac:dyDescent="0.25">
      <c r="A85" s="185" t="s">
        <v>306</v>
      </c>
      <c r="B85" s="84">
        <f t="shared" ref="B85:G85" si="24">SUM(B86:B92)</f>
        <v>0</v>
      </c>
      <c r="C85" s="84">
        <f t="shared" si="24"/>
        <v>0</v>
      </c>
      <c r="D85" s="84">
        <f t="shared" si="24"/>
        <v>0</v>
      </c>
      <c r="E85" s="84">
        <f t="shared" si="24"/>
        <v>0</v>
      </c>
      <c r="F85" s="84">
        <f t="shared" si="24"/>
        <v>0</v>
      </c>
      <c r="G85" s="84">
        <f t="shared" si="24"/>
        <v>0</v>
      </c>
    </row>
    <row r="86" spans="1:8" x14ac:dyDescent="0.25">
      <c r="A86" s="186" t="s">
        <v>307</v>
      </c>
      <c r="B86" s="84"/>
      <c r="C86" s="84"/>
      <c r="D86" s="84">
        <f t="shared" ref="D86:D92" si="25">B86+C86</f>
        <v>0</v>
      </c>
      <c r="E86" s="84"/>
      <c r="F86" s="84"/>
      <c r="G86" s="84">
        <f t="shared" ref="G86:G92" si="26">D86-E86</f>
        <v>0</v>
      </c>
      <c r="H86" s="114" t="s">
        <v>443</v>
      </c>
    </row>
    <row r="87" spans="1:8" x14ac:dyDescent="0.25">
      <c r="A87" s="186" t="s">
        <v>309</v>
      </c>
      <c r="B87" s="84"/>
      <c r="C87" s="84"/>
      <c r="D87" s="84">
        <f t="shared" si="25"/>
        <v>0</v>
      </c>
      <c r="E87" s="84"/>
      <c r="F87" s="84"/>
      <c r="G87" s="84">
        <f t="shared" si="26"/>
        <v>0</v>
      </c>
      <c r="H87" s="114" t="s">
        <v>444</v>
      </c>
    </row>
    <row r="88" spans="1:8" x14ac:dyDescent="0.25">
      <c r="A88" s="186" t="s">
        <v>311</v>
      </c>
      <c r="B88" s="84"/>
      <c r="C88" s="84"/>
      <c r="D88" s="84">
        <f t="shared" si="25"/>
        <v>0</v>
      </c>
      <c r="E88" s="84"/>
      <c r="F88" s="84"/>
      <c r="G88" s="84">
        <f t="shared" si="26"/>
        <v>0</v>
      </c>
      <c r="H88" s="114" t="s">
        <v>445</v>
      </c>
    </row>
    <row r="89" spans="1:8" x14ac:dyDescent="0.25">
      <c r="A89" s="186" t="s">
        <v>313</v>
      </c>
      <c r="B89" s="84"/>
      <c r="C89" s="84"/>
      <c r="D89" s="84">
        <f t="shared" si="25"/>
        <v>0</v>
      </c>
      <c r="E89" s="84"/>
      <c r="F89" s="84"/>
      <c r="G89" s="84">
        <f t="shared" si="26"/>
        <v>0</v>
      </c>
      <c r="H89" s="114" t="s">
        <v>446</v>
      </c>
    </row>
    <row r="90" spans="1:8" x14ac:dyDescent="0.25">
      <c r="A90" s="186" t="s">
        <v>315</v>
      </c>
      <c r="B90" s="84"/>
      <c r="C90" s="84"/>
      <c r="D90" s="84">
        <f t="shared" si="25"/>
        <v>0</v>
      </c>
      <c r="E90" s="84"/>
      <c r="F90" s="84"/>
      <c r="G90" s="84">
        <f t="shared" si="26"/>
        <v>0</v>
      </c>
      <c r="H90" s="114" t="s">
        <v>447</v>
      </c>
    </row>
    <row r="91" spans="1:8" x14ac:dyDescent="0.25">
      <c r="A91" s="186" t="s">
        <v>317</v>
      </c>
      <c r="B91" s="84"/>
      <c r="C91" s="84"/>
      <c r="D91" s="84">
        <f t="shared" si="25"/>
        <v>0</v>
      </c>
      <c r="E91" s="84"/>
      <c r="F91" s="84"/>
      <c r="G91" s="84">
        <f t="shared" si="26"/>
        <v>0</v>
      </c>
      <c r="H91" s="114" t="s">
        <v>448</v>
      </c>
    </row>
    <row r="92" spans="1:8" x14ac:dyDescent="0.25">
      <c r="A92" s="186" t="s">
        <v>319</v>
      </c>
      <c r="B92" s="84"/>
      <c r="C92" s="84"/>
      <c r="D92" s="84">
        <f t="shared" si="25"/>
        <v>0</v>
      </c>
      <c r="E92" s="84"/>
      <c r="F92" s="84"/>
      <c r="G92" s="84">
        <f t="shared" si="26"/>
        <v>0</v>
      </c>
      <c r="H92" s="114" t="s">
        <v>449</v>
      </c>
    </row>
    <row r="93" spans="1:8" x14ac:dyDescent="0.25">
      <c r="A93" s="185" t="s">
        <v>321</v>
      </c>
      <c r="B93" s="84">
        <f t="shared" ref="B93:G93" si="27">SUM(B94:B102)</f>
        <v>0</v>
      </c>
      <c r="C93" s="84">
        <f t="shared" si="27"/>
        <v>344.83</v>
      </c>
      <c r="D93" s="84">
        <f t="shared" si="27"/>
        <v>344.83</v>
      </c>
      <c r="E93" s="84">
        <f t="shared" si="27"/>
        <v>344.83</v>
      </c>
      <c r="F93" s="84">
        <v>344.83</v>
      </c>
      <c r="G93" s="84">
        <f t="shared" si="27"/>
        <v>0</v>
      </c>
    </row>
    <row r="94" spans="1:8" x14ac:dyDescent="0.25">
      <c r="A94" s="186" t="s">
        <v>322</v>
      </c>
      <c r="B94" s="84"/>
      <c r="C94" s="84"/>
      <c r="D94" s="84">
        <f t="shared" ref="D94:D102" si="28">B94+C94</f>
        <v>0</v>
      </c>
      <c r="E94" s="84"/>
      <c r="F94" s="84"/>
      <c r="G94" s="84">
        <f t="shared" ref="G94:G102" si="29">D94-E94</f>
        <v>0</v>
      </c>
      <c r="H94" s="114" t="s">
        <v>450</v>
      </c>
    </row>
    <row r="95" spans="1:8" x14ac:dyDescent="0.25">
      <c r="A95" s="186" t="s">
        <v>324</v>
      </c>
      <c r="B95" s="84"/>
      <c r="C95" s="84"/>
      <c r="D95" s="84">
        <f t="shared" si="28"/>
        <v>0</v>
      </c>
      <c r="E95" s="84"/>
      <c r="F95" s="84"/>
      <c r="G95" s="84">
        <f t="shared" si="29"/>
        <v>0</v>
      </c>
      <c r="H95" s="114" t="s">
        <v>451</v>
      </c>
    </row>
    <row r="96" spans="1:8" x14ac:dyDescent="0.25">
      <c r="A96" s="186" t="s">
        <v>326</v>
      </c>
      <c r="B96" s="84"/>
      <c r="C96" s="84"/>
      <c r="D96" s="84">
        <f t="shared" si="28"/>
        <v>0</v>
      </c>
      <c r="E96" s="84"/>
      <c r="F96" s="84"/>
      <c r="G96" s="84">
        <f t="shared" si="29"/>
        <v>0</v>
      </c>
      <c r="H96" s="114" t="s">
        <v>452</v>
      </c>
    </row>
    <row r="97" spans="1:8" x14ac:dyDescent="0.25">
      <c r="A97" s="186" t="s">
        <v>328</v>
      </c>
      <c r="B97" s="84"/>
      <c r="C97" s="84"/>
      <c r="D97" s="84">
        <f t="shared" si="28"/>
        <v>0</v>
      </c>
      <c r="E97" s="84"/>
      <c r="F97" s="84"/>
      <c r="G97" s="84">
        <f t="shared" si="29"/>
        <v>0</v>
      </c>
      <c r="H97" s="114" t="s">
        <v>453</v>
      </c>
    </row>
    <row r="98" spans="1:8" x14ac:dyDescent="0.25">
      <c r="A98" s="189" t="s">
        <v>330</v>
      </c>
      <c r="B98" s="84"/>
      <c r="C98" s="84"/>
      <c r="D98" s="84">
        <f t="shared" si="28"/>
        <v>0</v>
      </c>
      <c r="E98" s="84"/>
      <c r="F98" s="84"/>
      <c r="G98" s="84">
        <f t="shared" si="29"/>
        <v>0</v>
      </c>
      <c r="H98" s="114" t="s">
        <v>454</v>
      </c>
    </row>
    <row r="99" spans="1:8" x14ac:dyDescent="0.25">
      <c r="A99" s="186" t="s">
        <v>332</v>
      </c>
      <c r="B99" s="84"/>
      <c r="C99" s="84"/>
      <c r="D99" s="84">
        <f t="shared" si="28"/>
        <v>0</v>
      </c>
      <c r="E99" s="84"/>
      <c r="F99" s="84"/>
      <c r="G99" s="84">
        <f t="shared" si="29"/>
        <v>0</v>
      </c>
      <c r="H99" s="114" t="s">
        <v>455</v>
      </c>
    </row>
    <row r="100" spans="1:8" x14ac:dyDescent="0.25">
      <c r="A100" s="186" t="s">
        <v>334</v>
      </c>
      <c r="B100" s="84"/>
      <c r="C100" s="84"/>
      <c r="D100" s="84">
        <f t="shared" si="28"/>
        <v>0</v>
      </c>
      <c r="E100" s="84"/>
      <c r="F100" s="84"/>
      <c r="G100" s="84">
        <f t="shared" si="29"/>
        <v>0</v>
      </c>
      <c r="H100" s="114" t="s">
        <v>456</v>
      </c>
    </row>
    <row r="101" spans="1:8" x14ac:dyDescent="0.25">
      <c r="A101" s="186" t="s">
        <v>336</v>
      </c>
      <c r="B101" s="84"/>
      <c r="C101" s="84"/>
      <c r="D101" s="84">
        <f t="shared" si="28"/>
        <v>0</v>
      </c>
      <c r="E101" s="84"/>
      <c r="F101" s="84"/>
      <c r="G101" s="84">
        <f t="shared" si="29"/>
        <v>0</v>
      </c>
      <c r="H101" s="114" t="s">
        <v>457</v>
      </c>
    </row>
    <row r="102" spans="1:8" x14ac:dyDescent="0.25">
      <c r="A102" s="186" t="s">
        <v>338</v>
      </c>
      <c r="B102" s="84"/>
      <c r="C102" s="84">
        <v>344.83</v>
      </c>
      <c r="D102" s="84">
        <f t="shared" si="28"/>
        <v>344.83</v>
      </c>
      <c r="E102" s="84">
        <v>344.83</v>
      </c>
      <c r="F102" s="84">
        <v>344.83</v>
      </c>
      <c r="G102" s="84">
        <f t="shared" si="29"/>
        <v>0</v>
      </c>
      <c r="H102" s="114" t="s">
        <v>458</v>
      </c>
    </row>
    <row r="103" spans="1:8" x14ac:dyDescent="0.25">
      <c r="A103" s="185" t="s">
        <v>340</v>
      </c>
      <c r="B103" s="84">
        <f t="shared" ref="B103:G103" si="30">SUM(B104:B112)</f>
        <v>0</v>
      </c>
      <c r="C103" s="84">
        <f t="shared" si="30"/>
        <v>0</v>
      </c>
      <c r="D103" s="84">
        <f t="shared" si="30"/>
        <v>0</v>
      </c>
      <c r="E103" s="84">
        <f t="shared" si="30"/>
        <v>0</v>
      </c>
      <c r="F103" s="84">
        <f t="shared" si="30"/>
        <v>0</v>
      </c>
      <c r="G103" s="84">
        <f t="shared" si="30"/>
        <v>0</v>
      </c>
    </row>
    <row r="104" spans="1:8" x14ac:dyDescent="0.25">
      <c r="A104" s="186" t="s">
        <v>341</v>
      </c>
      <c r="B104" s="84"/>
      <c r="C104" s="84"/>
      <c r="D104" s="84">
        <f t="shared" ref="D104:D112" si="31">B104+C104</f>
        <v>0</v>
      </c>
      <c r="E104" s="84"/>
      <c r="F104" s="84"/>
      <c r="G104" s="84">
        <f t="shared" ref="G104:G112" si="32">D104-E104</f>
        <v>0</v>
      </c>
      <c r="H104" s="114" t="s">
        <v>459</v>
      </c>
    </row>
    <row r="105" spans="1:8" x14ac:dyDescent="0.25">
      <c r="A105" s="186" t="s">
        <v>343</v>
      </c>
      <c r="B105" s="84"/>
      <c r="C105" s="84"/>
      <c r="D105" s="84">
        <f t="shared" si="31"/>
        <v>0</v>
      </c>
      <c r="E105" s="84"/>
      <c r="F105" s="84"/>
      <c r="G105" s="84">
        <f t="shared" si="32"/>
        <v>0</v>
      </c>
      <c r="H105" s="114" t="s">
        <v>460</v>
      </c>
    </row>
    <row r="106" spans="1:8" x14ac:dyDescent="0.25">
      <c r="A106" s="186" t="s">
        <v>345</v>
      </c>
      <c r="B106" s="84"/>
      <c r="C106" s="84"/>
      <c r="D106" s="84">
        <f t="shared" si="31"/>
        <v>0</v>
      </c>
      <c r="E106" s="84">
        <v>0</v>
      </c>
      <c r="F106" s="84">
        <v>0</v>
      </c>
      <c r="G106" s="84">
        <f t="shared" si="32"/>
        <v>0</v>
      </c>
      <c r="H106" s="114" t="s">
        <v>461</v>
      </c>
    </row>
    <row r="107" spans="1:8" x14ac:dyDescent="0.25">
      <c r="A107" s="186" t="s">
        <v>347</v>
      </c>
      <c r="B107" s="84"/>
      <c r="C107" s="84"/>
      <c r="D107" s="84">
        <f t="shared" si="31"/>
        <v>0</v>
      </c>
      <c r="E107" s="84"/>
      <c r="F107" s="84"/>
      <c r="G107" s="84">
        <f t="shared" si="32"/>
        <v>0</v>
      </c>
      <c r="H107" s="114" t="s">
        <v>462</v>
      </c>
    </row>
    <row r="108" spans="1:8" x14ac:dyDescent="0.25">
      <c r="A108" s="186" t="s">
        <v>349</v>
      </c>
      <c r="B108" s="84"/>
      <c r="C108" s="84"/>
      <c r="D108" s="84">
        <f t="shared" si="31"/>
        <v>0</v>
      </c>
      <c r="E108" s="84">
        <v>0</v>
      </c>
      <c r="F108" s="84">
        <v>0</v>
      </c>
      <c r="G108" s="84">
        <f t="shared" si="32"/>
        <v>0</v>
      </c>
      <c r="H108" s="114" t="s">
        <v>463</v>
      </c>
    </row>
    <row r="109" spans="1:8" x14ac:dyDescent="0.25">
      <c r="A109" s="186" t="s">
        <v>351</v>
      </c>
      <c r="B109" s="84"/>
      <c r="C109" s="84"/>
      <c r="D109" s="84">
        <f t="shared" si="31"/>
        <v>0</v>
      </c>
      <c r="E109" s="84"/>
      <c r="F109" s="84"/>
      <c r="G109" s="84">
        <f t="shared" si="32"/>
        <v>0</v>
      </c>
      <c r="H109" s="114" t="s">
        <v>464</v>
      </c>
    </row>
    <row r="110" spans="1:8" x14ac:dyDescent="0.25">
      <c r="A110" s="186" t="s">
        <v>353</v>
      </c>
      <c r="B110" s="84"/>
      <c r="C110" s="84"/>
      <c r="D110" s="84">
        <f t="shared" si="31"/>
        <v>0</v>
      </c>
      <c r="E110" s="84"/>
      <c r="F110" s="84"/>
      <c r="G110" s="84">
        <f t="shared" si="32"/>
        <v>0</v>
      </c>
      <c r="H110" s="114" t="s">
        <v>465</v>
      </c>
    </row>
    <row r="111" spans="1:8" x14ac:dyDescent="0.25">
      <c r="A111" s="186" t="s">
        <v>355</v>
      </c>
      <c r="B111" s="84"/>
      <c r="C111" s="84"/>
      <c r="D111" s="84">
        <f t="shared" si="31"/>
        <v>0</v>
      </c>
      <c r="E111" s="84"/>
      <c r="F111" s="84"/>
      <c r="G111" s="84">
        <f t="shared" si="32"/>
        <v>0</v>
      </c>
      <c r="H111" s="114" t="s">
        <v>466</v>
      </c>
    </row>
    <row r="112" spans="1:8" x14ac:dyDescent="0.25">
      <c r="A112" s="186" t="s">
        <v>357</v>
      </c>
      <c r="B112" s="84"/>
      <c r="C112" s="84"/>
      <c r="D112" s="84">
        <f t="shared" si="31"/>
        <v>0</v>
      </c>
      <c r="E112" s="84"/>
      <c r="F112" s="84"/>
      <c r="G112" s="84">
        <f t="shared" si="32"/>
        <v>0</v>
      </c>
      <c r="H112" s="114" t="s">
        <v>467</v>
      </c>
    </row>
    <row r="113" spans="1:8" x14ac:dyDescent="0.25">
      <c r="A113" s="185" t="s">
        <v>359</v>
      </c>
      <c r="B113" s="84">
        <f t="shared" ref="B113:G113" si="33">SUM(B114:B122)</f>
        <v>0</v>
      </c>
      <c r="C113" s="84">
        <f t="shared" si="33"/>
        <v>0</v>
      </c>
      <c r="D113" s="84">
        <f t="shared" si="33"/>
        <v>0</v>
      </c>
      <c r="E113" s="84">
        <f t="shared" si="33"/>
        <v>0</v>
      </c>
      <c r="F113" s="84">
        <f t="shared" si="33"/>
        <v>0</v>
      </c>
      <c r="G113" s="84">
        <f t="shared" si="33"/>
        <v>0</v>
      </c>
    </row>
    <row r="114" spans="1:8" x14ac:dyDescent="0.25">
      <c r="A114" s="186" t="s">
        <v>360</v>
      </c>
      <c r="B114" s="84"/>
      <c r="C114" s="84"/>
      <c r="D114" s="84">
        <f t="shared" ref="D114:D122" si="34">B114+C114</f>
        <v>0</v>
      </c>
      <c r="E114" s="84"/>
      <c r="F114" s="84"/>
      <c r="G114" s="84">
        <f t="shared" ref="G114:G122" si="35">D114-E114</f>
        <v>0</v>
      </c>
      <c r="H114" s="114" t="s">
        <v>468</v>
      </c>
    </row>
    <row r="115" spans="1:8" x14ac:dyDescent="0.25">
      <c r="A115" s="186" t="s">
        <v>362</v>
      </c>
      <c r="B115" s="84"/>
      <c r="C115" s="84"/>
      <c r="D115" s="84">
        <f t="shared" si="34"/>
        <v>0</v>
      </c>
      <c r="E115" s="84"/>
      <c r="F115" s="84"/>
      <c r="G115" s="84">
        <f t="shared" si="35"/>
        <v>0</v>
      </c>
      <c r="H115" s="114" t="s">
        <v>469</v>
      </c>
    </row>
    <row r="116" spans="1:8" x14ac:dyDescent="0.25">
      <c r="A116" s="186" t="s">
        <v>364</v>
      </c>
      <c r="B116" s="84"/>
      <c r="C116" s="84"/>
      <c r="D116" s="84">
        <f t="shared" si="34"/>
        <v>0</v>
      </c>
      <c r="E116" s="84"/>
      <c r="F116" s="84"/>
      <c r="G116" s="84">
        <f t="shared" si="35"/>
        <v>0</v>
      </c>
      <c r="H116" s="114" t="s">
        <v>470</v>
      </c>
    </row>
    <row r="117" spans="1:8" x14ac:dyDescent="0.25">
      <c r="A117" s="186" t="s">
        <v>366</v>
      </c>
      <c r="B117" s="84"/>
      <c r="C117" s="84"/>
      <c r="D117" s="84">
        <f t="shared" si="34"/>
        <v>0</v>
      </c>
      <c r="E117" s="84"/>
      <c r="F117" s="84"/>
      <c r="G117" s="84">
        <f t="shared" si="35"/>
        <v>0</v>
      </c>
      <c r="H117" s="114" t="s">
        <v>471</v>
      </c>
    </row>
    <row r="118" spans="1:8" x14ac:dyDescent="0.25">
      <c r="A118" s="186" t="s">
        <v>368</v>
      </c>
      <c r="B118" s="84"/>
      <c r="C118" s="84"/>
      <c r="D118" s="84">
        <f t="shared" si="34"/>
        <v>0</v>
      </c>
      <c r="E118" s="84"/>
      <c r="F118" s="84"/>
      <c r="G118" s="84">
        <f t="shared" si="35"/>
        <v>0</v>
      </c>
      <c r="H118" s="114" t="s">
        <v>472</v>
      </c>
    </row>
    <row r="119" spans="1:8" x14ac:dyDescent="0.25">
      <c r="A119" s="186" t="s">
        <v>370</v>
      </c>
      <c r="B119" s="84"/>
      <c r="C119" s="84"/>
      <c r="D119" s="84">
        <f t="shared" si="34"/>
        <v>0</v>
      </c>
      <c r="E119" s="84"/>
      <c r="F119" s="84"/>
      <c r="G119" s="84">
        <f t="shared" si="35"/>
        <v>0</v>
      </c>
      <c r="H119" s="114" t="s">
        <v>473</v>
      </c>
    </row>
    <row r="120" spans="1:8" x14ac:dyDescent="0.25">
      <c r="A120" s="186" t="s">
        <v>372</v>
      </c>
      <c r="B120" s="84"/>
      <c r="C120" s="84"/>
      <c r="D120" s="84">
        <f t="shared" si="34"/>
        <v>0</v>
      </c>
      <c r="E120" s="84"/>
      <c r="F120" s="84"/>
      <c r="G120" s="84">
        <f t="shared" si="35"/>
        <v>0</v>
      </c>
      <c r="H120" s="114" t="s">
        <v>474</v>
      </c>
    </row>
    <row r="121" spans="1:8" x14ac:dyDescent="0.25">
      <c r="A121" s="186" t="s">
        <v>374</v>
      </c>
      <c r="B121" s="84"/>
      <c r="C121" s="84"/>
      <c r="D121" s="84">
        <f t="shared" si="34"/>
        <v>0</v>
      </c>
      <c r="E121" s="84"/>
      <c r="F121" s="84"/>
      <c r="G121" s="84">
        <f t="shared" si="35"/>
        <v>0</v>
      </c>
      <c r="H121" s="114" t="s">
        <v>475</v>
      </c>
    </row>
    <row r="122" spans="1:8" x14ac:dyDescent="0.25">
      <c r="A122" s="186" t="s">
        <v>376</v>
      </c>
      <c r="B122" s="84"/>
      <c r="C122" s="84"/>
      <c r="D122" s="84">
        <f t="shared" si="34"/>
        <v>0</v>
      </c>
      <c r="E122" s="84"/>
      <c r="F122" s="84"/>
      <c r="G122" s="84">
        <f t="shared" si="35"/>
        <v>0</v>
      </c>
      <c r="H122" s="114" t="s">
        <v>476</v>
      </c>
    </row>
    <row r="123" spans="1:8" x14ac:dyDescent="0.25">
      <c r="A123" s="185" t="s">
        <v>378</v>
      </c>
      <c r="B123" s="84">
        <f t="shared" ref="B123:G123" si="36">SUM(B124:B132)</f>
        <v>0</v>
      </c>
      <c r="C123" s="84">
        <f t="shared" si="36"/>
        <v>267835.56</v>
      </c>
      <c r="D123" s="84">
        <f t="shared" si="36"/>
        <v>267835.56</v>
      </c>
      <c r="E123" s="84">
        <f t="shared" si="36"/>
        <v>67835.56</v>
      </c>
      <c r="F123" s="84">
        <f t="shared" si="36"/>
        <v>67835.56</v>
      </c>
      <c r="G123" s="84">
        <f t="shared" si="36"/>
        <v>200000</v>
      </c>
    </row>
    <row r="124" spans="1:8" x14ac:dyDescent="0.25">
      <c r="A124" s="186" t="s">
        <v>379</v>
      </c>
      <c r="B124" s="84"/>
      <c r="C124" s="84"/>
      <c r="D124" s="84">
        <f t="shared" ref="D124:D132" si="37">B124+C124</f>
        <v>0</v>
      </c>
      <c r="E124" s="84"/>
      <c r="F124" s="84"/>
      <c r="G124" s="84">
        <f t="shared" ref="G124:G132" si="38">D124-E124</f>
        <v>0</v>
      </c>
      <c r="H124" s="114" t="s">
        <v>477</v>
      </c>
    </row>
    <row r="125" spans="1:8" x14ac:dyDescent="0.25">
      <c r="A125" s="186" t="s">
        <v>381</v>
      </c>
      <c r="B125" s="84"/>
      <c r="C125" s="84">
        <v>67835.56</v>
      </c>
      <c r="D125" s="84">
        <f t="shared" si="37"/>
        <v>67835.56</v>
      </c>
      <c r="E125" s="84">
        <v>67835.56</v>
      </c>
      <c r="F125" s="84">
        <v>67835.56</v>
      </c>
      <c r="G125" s="84">
        <f t="shared" si="38"/>
        <v>0</v>
      </c>
      <c r="H125" s="114" t="s">
        <v>478</v>
      </c>
    </row>
    <row r="126" spans="1:8" x14ac:dyDescent="0.25">
      <c r="A126" s="186" t="s">
        <v>383</v>
      </c>
      <c r="B126" s="84"/>
      <c r="C126" s="84"/>
      <c r="D126" s="84">
        <f t="shared" si="37"/>
        <v>0</v>
      </c>
      <c r="E126" s="84"/>
      <c r="F126" s="84"/>
      <c r="G126" s="84">
        <f t="shared" si="38"/>
        <v>0</v>
      </c>
      <c r="H126" s="114" t="s">
        <v>479</v>
      </c>
    </row>
    <row r="127" spans="1:8" x14ac:dyDescent="0.25">
      <c r="A127" s="186" t="s">
        <v>385</v>
      </c>
      <c r="B127" s="84"/>
      <c r="C127" s="84"/>
      <c r="D127" s="84">
        <f t="shared" si="37"/>
        <v>0</v>
      </c>
      <c r="E127" s="84"/>
      <c r="F127" s="84"/>
      <c r="G127" s="84">
        <f t="shared" si="38"/>
        <v>0</v>
      </c>
      <c r="H127" s="114" t="s">
        <v>480</v>
      </c>
    </row>
    <row r="128" spans="1:8" x14ac:dyDescent="0.25">
      <c r="A128" s="186" t="s">
        <v>387</v>
      </c>
      <c r="B128" s="84"/>
      <c r="C128" s="84"/>
      <c r="D128" s="84">
        <f t="shared" si="37"/>
        <v>0</v>
      </c>
      <c r="E128" s="84"/>
      <c r="F128" s="84"/>
      <c r="G128" s="84">
        <f t="shared" si="38"/>
        <v>0</v>
      </c>
      <c r="H128" s="114" t="s">
        <v>481</v>
      </c>
    </row>
    <row r="129" spans="1:8" x14ac:dyDescent="0.25">
      <c r="A129" s="186" t="s">
        <v>389</v>
      </c>
      <c r="B129" s="84"/>
      <c r="C129" s="84">
        <v>200000</v>
      </c>
      <c r="D129" s="84">
        <f t="shared" si="37"/>
        <v>200000</v>
      </c>
      <c r="E129" s="84"/>
      <c r="F129" s="84"/>
      <c r="G129" s="84">
        <f t="shared" si="38"/>
        <v>200000</v>
      </c>
      <c r="H129" s="114" t="s">
        <v>482</v>
      </c>
    </row>
    <row r="130" spans="1:8" x14ac:dyDescent="0.25">
      <c r="A130" s="186" t="s">
        <v>391</v>
      </c>
      <c r="B130" s="84"/>
      <c r="C130" s="84"/>
      <c r="D130" s="84">
        <f t="shared" si="37"/>
        <v>0</v>
      </c>
      <c r="E130" s="84"/>
      <c r="F130" s="84"/>
      <c r="G130" s="84">
        <f t="shared" si="38"/>
        <v>0</v>
      </c>
      <c r="H130" s="114" t="s">
        <v>483</v>
      </c>
    </row>
    <row r="131" spans="1:8" x14ac:dyDescent="0.25">
      <c r="A131" s="186" t="s">
        <v>393</v>
      </c>
      <c r="B131" s="84"/>
      <c r="C131" s="84"/>
      <c r="D131" s="84">
        <f t="shared" si="37"/>
        <v>0</v>
      </c>
      <c r="E131" s="84"/>
      <c r="F131" s="84"/>
      <c r="G131" s="84">
        <f t="shared" si="38"/>
        <v>0</v>
      </c>
      <c r="H131" s="114" t="s">
        <v>484</v>
      </c>
    </row>
    <row r="132" spans="1:8" x14ac:dyDescent="0.25">
      <c r="A132" s="186" t="s">
        <v>395</v>
      </c>
      <c r="B132" s="84"/>
      <c r="C132" s="84"/>
      <c r="D132" s="84">
        <f t="shared" si="37"/>
        <v>0</v>
      </c>
      <c r="E132" s="84"/>
      <c r="F132" s="84"/>
      <c r="G132" s="84">
        <f t="shared" si="38"/>
        <v>0</v>
      </c>
      <c r="H132" s="114" t="s">
        <v>485</v>
      </c>
    </row>
    <row r="133" spans="1:8" x14ac:dyDescent="0.25">
      <c r="A133" s="185" t="s">
        <v>397</v>
      </c>
      <c r="B133" s="84">
        <f t="shared" ref="B133:G133" si="39">SUM(B134:B136)</f>
        <v>0</v>
      </c>
      <c r="C133" s="84">
        <f t="shared" si="39"/>
        <v>0</v>
      </c>
      <c r="D133" s="84">
        <f t="shared" si="39"/>
        <v>0</v>
      </c>
      <c r="E133" s="84">
        <f t="shared" si="39"/>
        <v>0</v>
      </c>
      <c r="F133" s="84">
        <f t="shared" si="39"/>
        <v>0</v>
      </c>
      <c r="G133" s="84">
        <f t="shared" si="39"/>
        <v>0</v>
      </c>
    </row>
    <row r="134" spans="1:8" x14ac:dyDescent="0.25">
      <c r="A134" s="186" t="s">
        <v>398</v>
      </c>
      <c r="B134" s="84"/>
      <c r="C134" s="84"/>
      <c r="D134" s="84">
        <f t="shared" ref="D134:D157" si="40">B134+C134</f>
        <v>0</v>
      </c>
      <c r="E134" s="84"/>
      <c r="F134" s="84"/>
      <c r="G134" s="84">
        <f>D134-E134</f>
        <v>0</v>
      </c>
      <c r="H134" s="114" t="s">
        <v>486</v>
      </c>
    </row>
    <row r="135" spans="1:8" x14ac:dyDescent="0.25">
      <c r="A135" s="186" t="s">
        <v>400</v>
      </c>
      <c r="B135" s="84"/>
      <c r="C135" s="84"/>
      <c r="D135" s="84">
        <f t="shared" si="40"/>
        <v>0</v>
      </c>
      <c r="E135" s="84"/>
      <c r="F135" s="84"/>
      <c r="G135" s="84">
        <f>D135-E135</f>
        <v>0</v>
      </c>
      <c r="H135" s="114" t="s">
        <v>487</v>
      </c>
    </row>
    <row r="136" spans="1:8" x14ac:dyDescent="0.25">
      <c r="A136" s="186" t="s">
        <v>402</v>
      </c>
      <c r="B136" s="84"/>
      <c r="C136" s="84"/>
      <c r="D136" s="84">
        <f t="shared" si="40"/>
        <v>0</v>
      </c>
      <c r="E136" s="84"/>
      <c r="F136" s="84"/>
      <c r="G136" s="84">
        <f>D136-E136</f>
        <v>0</v>
      </c>
      <c r="H136" s="114" t="s">
        <v>488</v>
      </c>
    </row>
    <row r="137" spans="1:8" x14ac:dyDescent="0.25">
      <c r="A137" s="185" t="s">
        <v>404</v>
      </c>
      <c r="B137" s="84">
        <f t="shared" ref="B137:G137" si="41">SUM(B138:B142,B144:B145)</f>
        <v>0</v>
      </c>
      <c r="C137" s="84">
        <f t="shared" si="41"/>
        <v>0</v>
      </c>
      <c r="D137" s="84">
        <f t="shared" si="41"/>
        <v>0</v>
      </c>
      <c r="E137" s="84">
        <f t="shared" si="41"/>
        <v>0</v>
      </c>
      <c r="F137" s="84">
        <f t="shared" si="41"/>
        <v>0</v>
      </c>
      <c r="G137" s="84">
        <f t="shared" si="41"/>
        <v>0</v>
      </c>
    </row>
    <row r="138" spans="1:8" x14ac:dyDescent="0.25">
      <c r="A138" s="186" t="s">
        <v>405</v>
      </c>
      <c r="B138" s="84"/>
      <c r="C138" s="84"/>
      <c r="D138" s="84">
        <f t="shared" si="40"/>
        <v>0</v>
      </c>
      <c r="E138" s="84"/>
      <c r="F138" s="84"/>
      <c r="G138" s="84">
        <f t="shared" ref="G138:G145" si="42">D138-E138</f>
        <v>0</v>
      </c>
      <c r="H138" s="114" t="s">
        <v>489</v>
      </c>
    </row>
    <row r="139" spans="1:8" x14ac:dyDescent="0.25">
      <c r="A139" s="186" t="s">
        <v>407</v>
      </c>
      <c r="B139" s="84"/>
      <c r="C139" s="84"/>
      <c r="D139" s="84">
        <f t="shared" si="40"/>
        <v>0</v>
      </c>
      <c r="E139" s="84"/>
      <c r="F139" s="84"/>
      <c r="G139" s="84">
        <f t="shared" si="42"/>
        <v>0</v>
      </c>
      <c r="H139" s="114" t="s">
        <v>490</v>
      </c>
    </row>
    <row r="140" spans="1:8" x14ac:dyDescent="0.25">
      <c r="A140" s="186" t="s">
        <v>409</v>
      </c>
      <c r="B140" s="84"/>
      <c r="C140" s="84"/>
      <c r="D140" s="84">
        <f t="shared" si="40"/>
        <v>0</v>
      </c>
      <c r="E140" s="84"/>
      <c r="F140" s="84"/>
      <c r="G140" s="84">
        <f t="shared" si="42"/>
        <v>0</v>
      </c>
      <c r="H140" s="114" t="s">
        <v>491</v>
      </c>
    </row>
    <row r="141" spans="1:8" x14ac:dyDescent="0.25">
      <c r="A141" s="186" t="s">
        <v>411</v>
      </c>
      <c r="B141" s="84"/>
      <c r="C141" s="84"/>
      <c r="D141" s="84">
        <f t="shared" si="40"/>
        <v>0</v>
      </c>
      <c r="E141" s="84"/>
      <c r="F141" s="84"/>
      <c r="G141" s="84">
        <f t="shared" si="42"/>
        <v>0</v>
      </c>
      <c r="H141" s="114" t="s">
        <v>492</v>
      </c>
    </row>
    <row r="142" spans="1:8" x14ac:dyDescent="0.25">
      <c r="A142" s="186" t="s">
        <v>413</v>
      </c>
      <c r="B142" s="84"/>
      <c r="C142" s="84"/>
      <c r="D142" s="84">
        <f t="shared" si="40"/>
        <v>0</v>
      </c>
      <c r="E142" s="84"/>
      <c r="F142" s="84"/>
      <c r="G142" s="84">
        <f t="shared" si="42"/>
        <v>0</v>
      </c>
      <c r="H142" s="114" t="s">
        <v>493</v>
      </c>
    </row>
    <row r="143" spans="1:8" x14ac:dyDescent="0.25">
      <c r="A143" s="186" t="s">
        <v>415</v>
      </c>
      <c r="B143" s="84"/>
      <c r="C143" s="84"/>
      <c r="D143" s="84">
        <f t="shared" si="40"/>
        <v>0</v>
      </c>
      <c r="E143" s="84"/>
      <c r="F143" s="84"/>
      <c r="G143" s="84">
        <f t="shared" si="42"/>
        <v>0</v>
      </c>
      <c r="H143" s="114"/>
    </row>
    <row r="144" spans="1:8" x14ac:dyDescent="0.25">
      <c r="A144" s="186" t="s">
        <v>416</v>
      </c>
      <c r="B144" s="84"/>
      <c r="C144" s="84"/>
      <c r="D144" s="84">
        <f t="shared" si="40"/>
        <v>0</v>
      </c>
      <c r="E144" s="84"/>
      <c r="F144" s="84"/>
      <c r="G144" s="84">
        <f t="shared" si="42"/>
        <v>0</v>
      </c>
      <c r="H144" s="114" t="s">
        <v>494</v>
      </c>
    </row>
    <row r="145" spans="1:8" x14ac:dyDescent="0.25">
      <c r="A145" s="186" t="s">
        <v>418</v>
      </c>
      <c r="B145" s="84"/>
      <c r="C145" s="84"/>
      <c r="D145" s="84">
        <f t="shared" si="40"/>
        <v>0</v>
      </c>
      <c r="E145" s="84"/>
      <c r="F145" s="84"/>
      <c r="G145" s="84">
        <f t="shared" si="42"/>
        <v>0</v>
      </c>
      <c r="H145" s="114" t="s">
        <v>495</v>
      </c>
    </row>
    <row r="146" spans="1:8" x14ac:dyDescent="0.25">
      <c r="A146" s="185" t="s">
        <v>420</v>
      </c>
      <c r="B146" s="84">
        <f t="shared" ref="B146:G146" si="43">SUM(B147:B149)</f>
        <v>0</v>
      </c>
      <c r="C146" s="84">
        <f t="shared" si="43"/>
        <v>0</v>
      </c>
      <c r="D146" s="84">
        <f t="shared" si="43"/>
        <v>0</v>
      </c>
      <c r="E146" s="84">
        <f t="shared" si="43"/>
        <v>0</v>
      </c>
      <c r="F146" s="84">
        <f t="shared" si="43"/>
        <v>0</v>
      </c>
      <c r="G146" s="84">
        <f t="shared" si="43"/>
        <v>0</v>
      </c>
    </row>
    <row r="147" spans="1:8" x14ac:dyDescent="0.25">
      <c r="A147" s="186" t="s">
        <v>421</v>
      </c>
      <c r="B147" s="84"/>
      <c r="C147" s="84"/>
      <c r="D147" s="84">
        <f t="shared" si="40"/>
        <v>0</v>
      </c>
      <c r="E147" s="84"/>
      <c r="F147" s="84"/>
      <c r="G147" s="84">
        <f>D147-E147</f>
        <v>0</v>
      </c>
      <c r="H147" s="114" t="s">
        <v>496</v>
      </c>
    </row>
    <row r="148" spans="1:8" x14ac:dyDescent="0.25">
      <c r="A148" s="186" t="s">
        <v>423</v>
      </c>
      <c r="B148" s="84"/>
      <c r="C148" s="84"/>
      <c r="D148" s="84">
        <f t="shared" si="40"/>
        <v>0</v>
      </c>
      <c r="E148" s="84"/>
      <c r="F148" s="84"/>
      <c r="G148" s="84">
        <f>D148-E148</f>
        <v>0</v>
      </c>
      <c r="H148" s="114" t="s">
        <v>497</v>
      </c>
    </row>
    <row r="149" spans="1:8" x14ac:dyDescent="0.25">
      <c r="A149" s="186" t="s">
        <v>425</v>
      </c>
      <c r="B149" s="84"/>
      <c r="C149" s="84"/>
      <c r="D149" s="84">
        <f t="shared" si="40"/>
        <v>0</v>
      </c>
      <c r="E149" s="84"/>
      <c r="F149" s="84"/>
      <c r="G149" s="84">
        <f>D149-E149</f>
        <v>0</v>
      </c>
      <c r="H149" s="114" t="s">
        <v>498</v>
      </c>
    </row>
    <row r="150" spans="1:8" x14ac:dyDescent="0.25">
      <c r="A150" s="185" t="s">
        <v>427</v>
      </c>
      <c r="B150" s="84">
        <f t="shared" ref="B150:G150" si="44">SUM(B151:B157)</f>
        <v>0</v>
      </c>
      <c r="C150" s="84">
        <f t="shared" si="44"/>
        <v>0</v>
      </c>
      <c r="D150" s="84">
        <f t="shared" si="44"/>
        <v>0</v>
      </c>
      <c r="E150" s="84">
        <f t="shared" si="44"/>
        <v>0</v>
      </c>
      <c r="F150" s="84">
        <f t="shared" si="44"/>
        <v>0</v>
      </c>
      <c r="G150" s="84">
        <f t="shared" si="44"/>
        <v>0</v>
      </c>
    </row>
    <row r="151" spans="1:8" x14ac:dyDescent="0.25">
      <c r="A151" s="186" t="s">
        <v>428</v>
      </c>
      <c r="B151" s="84"/>
      <c r="C151" s="84"/>
      <c r="D151" s="84">
        <f t="shared" si="40"/>
        <v>0</v>
      </c>
      <c r="E151" s="84"/>
      <c r="F151" s="84"/>
      <c r="G151" s="84">
        <f t="shared" ref="G151:G157" si="45">D151-E151</f>
        <v>0</v>
      </c>
      <c r="H151" s="114" t="s">
        <v>499</v>
      </c>
    </row>
    <row r="152" spans="1:8" x14ac:dyDescent="0.25">
      <c r="A152" s="186" t="s">
        <v>430</v>
      </c>
      <c r="B152" s="84"/>
      <c r="C152" s="84"/>
      <c r="D152" s="84">
        <f t="shared" si="40"/>
        <v>0</v>
      </c>
      <c r="E152" s="84"/>
      <c r="F152" s="84"/>
      <c r="G152" s="84">
        <f t="shared" si="45"/>
        <v>0</v>
      </c>
      <c r="H152" s="114" t="s">
        <v>500</v>
      </c>
    </row>
    <row r="153" spans="1:8" x14ac:dyDescent="0.25">
      <c r="A153" s="186" t="s">
        <v>432</v>
      </c>
      <c r="B153" s="84"/>
      <c r="C153" s="84"/>
      <c r="D153" s="84">
        <f t="shared" si="40"/>
        <v>0</v>
      </c>
      <c r="E153" s="84"/>
      <c r="F153" s="84"/>
      <c r="G153" s="84">
        <f t="shared" si="45"/>
        <v>0</v>
      </c>
      <c r="H153" s="114" t="s">
        <v>501</v>
      </c>
    </row>
    <row r="154" spans="1:8" x14ac:dyDescent="0.25">
      <c r="A154" s="189" t="s">
        <v>434</v>
      </c>
      <c r="B154" s="84"/>
      <c r="C154" s="84"/>
      <c r="D154" s="84">
        <f t="shared" si="40"/>
        <v>0</v>
      </c>
      <c r="E154" s="84"/>
      <c r="F154" s="84"/>
      <c r="G154" s="84">
        <f t="shared" si="45"/>
        <v>0</v>
      </c>
      <c r="H154" s="114" t="s">
        <v>502</v>
      </c>
    </row>
    <row r="155" spans="1:8" x14ac:dyDescent="0.25">
      <c r="A155" s="186" t="s">
        <v>436</v>
      </c>
      <c r="B155" s="84"/>
      <c r="C155" s="84"/>
      <c r="D155" s="84">
        <f t="shared" si="40"/>
        <v>0</v>
      </c>
      <c r="E155" s="84"/>
      <c r="F155" s="84"/>
      <c r="G155" s="84">
        <f t="shared" si="45"/>
        <v>0</v>
      </c>
      <c r="H155" s="114" t="s">
        <v>503</v>
      </c>
    </row>
    <row r="156" spans="1:8" x14ac:dyDescent="0.25">
      <c r="A156" s="113" t="s">
        <v>438</v>
      </c>
      <c r="B156" s="112"/>
      <c r="C156" s="112"/>
      <c r="D156" s="112">
        <f t="shared" si="40"/>
        <v>0</v>
      </c>
      <c r="E156" s="112"/>
      <c r="F156" s="112"/>
      <c r="G156" s="112">
        <f t="shared" si="45"/>
        <v>0</v>
      </c>
      <c r="H156" s="114" t="s">
        <v>504</v>
      </c>
    </row>
    <row r="157" spans="1:8" x14ac:dyDescent="0.25">
      <c r="A157" s="113" t="s">
        <v>440</v>
      </c>
      <c r="B157" s="112"/>
      <c r="C157" s="112"/>
      <c r="D157" s="112">
        <f t="shared" si="40"/>
        <v>0</v>
      </c>
      <c r="E157" s="112"/>
      <c r="F157" s="112"/>
      <c r="G157" s="112">
        <f t="shared" si="45"/>
        <v>0</v>
      </c>
      <c r="H157" s="114" t="s">
        <v>505</v>
      </c>
    </row>
    <row r="158" spans="1:8" x14ac:dyDescent="0.25">
      <c r="A158" s="52"/>
      <c r="B158" s="115"/>
      <c r="C158" s="115"/>
      <c r="D158" s="115"/>
      <c r="E158" s="115"/>
      <c r="F158" s="115"/>
      <c r="G158" s="115"/>
    </row>
    <row r="159" spans="1:8" x14ac:dyDescent="0.25">
      <c r="A159" s="116" t="s">
        <v>506</v>
      </c>
      <c r="B159" s="41">
        <f t="shared" ref="B159:G159" si="46">B9+B84</f>
        <v>34709337.149999999</v>
      </c>
      <c r="C159" s="41">
        <f t="shared" si="46"/>
        <v>30035179.210000001</v>
      </c>
      <c r="D159" s="41">
        <f t="shared" si="46"/>
        <v>64744516.360000014</v>
      </c>
      <c r="E159" s="41">
        <f t="shared" si="46"/>
        <v>56221213.460000008</v>
      </c>
      <c r="F159" s="41">
        <f t="shared" si="46"/>
        <v>55871075.950000003</v>
      </c>
      <c r="G159" s="41">
        <f t="shared" si="46"/>
        <v>8523302.9000000004</v>
      </c>
    </row>
    <row r="160" spans="1:8" x14ac:dyDescent="0.25">
      <c r="A160" s="82"/>
      <c r="B160" s="117"/>
      <c r="C160" s="117"/>
      <c r="D160" s="117"/>
      <c r="E160" s="117"/>
      <c r="F160" s="117"/>
      <c r="G160" s="117"/>
    </row>
    <row r="161" spans="2:10" x14ac:dyDescent="0.25">
      <c r="F161" s="94"/>
    </row>
    <row r="163" spans="2:10" x14ac:dyDescent="0.25">
      <c r="C163" s="94"/>
    </row>
    <row r="164" spans="2:10" x14ac:dyDescent="0.25">
      <c r="C164" s="180"/>
      <c r="D164" s="180"/>
      <c r="E164" s="180"/>
      <c r="F164" s="180"/>
      <c r="G164" s="180"/>
      <c r="H164" s="180"/>
      <c r="I164" s="180"/>
      <c r="J164" s="180"/>
    </row>
    <row r="165" spans="2:10" x14ac:dyDescent="0.25">
      <c r="B165" s="94"/>
      <c r="C165" s="181"/>
      <c r="D165" s="181"/>
      <c r="E165" s="181"/>
      <c r="F165" s="181"/>
      <c r="G165" s="181"/>
      <c r="H165" s="180"/>
      <c r="I165" s="180"/>
      <c r="J165" s="180"/>
    </row>
    <row r="166" spans="2:10" x14ac:dyDescent="0.25">
      <c r="C166" s="180"/>
      <c r="D166" s="180"/>
      <c r="E166" s="180"/>
      <c r="F166" s="182"/>
      <c r="G166" s="180"/>
      <c r="H166" s="180"/>
      <c r="I166" s="180"/>
      <c r="J166" s="180"/>
    </row>
    <row r="167" spans="2:10" x14ac:dyDescent="0.25">
      <c r="C167" s="180"/>
      <c r="D167" s="180"/>
      <c r="E167" s="180"/>
      <c r="F167" s="180"/>
      <c r="G167" s="180"/>
      <c r="H167" s="180"/>
      <c r="I167" s="180"/>
      <c r="J167" s="180"/>
    </row>
    <row r="168" spans="2:10" x14ac:dyDescent="0.25">
      <c r="C168" s="180"/>
      <c r="D168" s="180"/>
      <c r="E168" s="180"/>
      <c r="F168" s="182"/>
      <c r="G168" s="180"/>
      <c r="H168" s="180"/>
      <c r="I168" s="180"/>
      <c r="J168" s="180"/>
    </row>
    <row r="169" spans="2:10" x14ac:dyDescent="0.25">
      <c r="C169" s="183"/>
      <c r="D169" s="183"/>
      <c r="E169" s="183"/>
      <c r="F169" s="183"/>
      <c r="G169" s="183"/>
      <c r="H169" s="180"/>
      <c r="I169" s="180"/>
      <c r="J169" s="180"/>
    </row>
    <row r="170" spans="2:10" x14ac:dyDescent="0.25">
      <c r="C170" s="180"/>
      <c r="D170" s="180"/>
      <c r="E170" s="180"/>
      <c r="F170" s="180"/>
      <c r="G170" s="180"/>
      <c r="H170" s="180"/>
      <c r="I170" s="180"/>
      <c r="J170" s="180"/>
    </row>
    <row r="171" spans="2:10" x14ac:dyDescent="0.25">
      <c r="C171" s="180"/>
      <c r="D171" s="180"/>
      <c r="E171" s="180"/>
      <c r="F171" s="180"/>
      <c r="G171" s="180"/>
      <c r="H171" s="180"/>
      <c r="I171" s="180"/>
      <c r="J171" s="18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59" fitToHeight="0" orientation="landscape" r:id="rId1"/>
  <rowBreaks count="1" manualBreakCount="1">
    <brk id="83" max="6" man="1"/>
  </rowBreaks>
  <colBreaks count="1" manualBreakCount="1">
    <brk id="7" max="1048575" man="1"/>
  </colBreaks>
  <ignoredErrors>
    <ignoredError sqref="B9:G10 B131:G159 B28:G28 B19:B27 G19:G27 B59:C61 B49:B57 D49:D57 G49:G57 B48:C48 E48:F48 B58:C58 E58:F58 B63:G74 B62:C62 E62:F62 D19:D27 B18:G18 B11:B17 D11:D17 G11:G17 B38:G38 B29:B37 D29:D37 G29:G37 B39:B47 D39:D47 G39:G47 G59:G61" unlockedFormula="1"/>
    <ignoredError sqref="D48 G48 D58 D62 G58 G62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G37"/>
  <sheetViews>
    <sheetView showGridLines="0" zoomScaleNormal="100" workbookViewId="0">
      <selection activeCell="G30" sqref="G30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18" t="s">
        <v>507</v>
      </c>
      <c r="B1" s="218"/>
      <c r="C1" s="218"/>
      <c r="D1" s="218"/>
      <c r="E1" s="218"/>
      <c r="F1" s="218"/>
      <c r="G1" s="218"/>
    </row>
    <row r="2" spans="1:7" x14ac:dyDescent="0.25">
      <c r="A2" s="203" t="s">
        <v>1</v>
      </c>
      <c r="B2" s="204"/>
      <c r="C2" s="204"/>
      <c r="D2" s="204"/>
      <c r="E2" s="204"/>
      <c r="F2" s="204"/>
      <c r="G2" s="205"/>
    </row>
    <row r="3" spans="1:7" x14ac:dyDescent="0.25">
      <c r="A3" s="206" t="s">
        <v>297</v>
      </c>
      <c r="B3" s="207"/>
      <c r="C3" s="207"/>
      <c r="D3" s="207"/>
      <c r="E3" s="207"/>
      <c r="F3" s="207"/>
      <c r="G3" s="208"/>
    </row>
    <row r="4" spans="1:7" x14ac:dyDescent="0.25">
      <c r="A4" s="206" t="s">
        <v>508</v>
      </c>
      <c r="B4" s="207"/>
      <c r="C4" s="207"/>
      <c r="D4" s="207"/>
      <c r="E4" s="207"/>
      <c r="F4" s="207"/>
      <c r="G4" s="208"/>
    </row>
    <row r="5" spans="1:7" x14ac:dyDescent="0.25">
      <c r="A5" s="206" t="s">
        <v>750</v>
      </c>
      <c r="B5" s="207"/>
      <c r="C5" s="207"/>
      <c r="D5" s="207"/>
      <c r="E5" s="207"/>
      <c r="F5" s="207"/>
      <c r="G5" s="208"/>
    </row>
    <row r="6" spans="1:7" x14ac:dyDescent="0.25">
      <c r="A6" s="209" t="s">
        <v>3</v>
      </c>
      <c r="B6" s="210"/>
      <c r="C6" s="210"/>
      <c r="D6" s="210"/>
      <c r="E6" s="210"/>
      <c r="F6" s="210"/>
      <c r="G6" s="211"/>
    </row>
    <row r="7" spans="1:7" x14ac:dyDescent="0.25">
      <c r="A7" s="212" t="s">
        <v>5</v>
      </c>
      <c r="B7" s="220" t="s">
        <v>299</v>
      </c>
      <c r="C7" s="220"/>
      <c r="D7" s="220"/>
      <c r="E7" s="220"/>
      <c r="F7" s="220"/>
      <c r="G7" s="221" t="s">
        <v>300</v>
      </c>
    </row>
    <row r="8" spans="1:7" ht="30" x14ac:dyDescent="0.25">
      <c r="A8" s="213"/>
      <c r="B8" s="118" t="s">
        <v>301</v>
      </c>
      <c r="C8" s="119" t="s">
        <v>231</v>
      </c>
      <c r="D8" s="118" t="s">
        <v>232</v>
      </c>
      <c r="E8" s="118" t="s">
        <v>187</v>
      </c>
      <c r="F8" s="118" t="s">
        <v>204</v>
      </c>
      <c r="G8" s="222"/>
    </row>
    <row r="9" spans="1:7" x14ac:dyDescent="0.25">
      <c r="A9" s="100" t="s">
        <v>509</v>
      </c>
      <c r="B9" s="120">
        <f t="shared" ref="B9:G9" si="0">SUM(B10:B18)</f>
        <v>34709337.149999999</v>
      </c>
      <c r="C9" s="120">
        <f t="shared" si="0"/>
        <v>29766998.819999997</v>
      </c>
      <c r="D9" s="120">
        <f t="shared" si="0"/>
        <v>64476335.969999999</v>
      </c>
      <c r="E9" s="120">
        <f t="shared" si="0"/>
        <v>56153033.07</v>
      </c>
      <c r="F9" s="120">
        <f t="shared" si="0"/>
        <v>55802895.560000002</v>
      </c>
      <c r="G9" s="120">
        <f t="shared" si="0"/>
        <v>8323302.9000000041</v>
      </c>
    </row>
    <row r="10" spans="1:7" x14ac:dyDescent="0.25">
      <c r="A10" s="121" t="s">
        <v>510</v>
      </c>
      <c r="B10" s="122">
        <v>1083231.24</v>
      </c>
      <c r="C10" s="122">
        <v>122633.25</v>
      </c>
      <c r="D10" s="84">
        <f>B10+C10</f>
        <v>1205864.49</v>
      </c>
      <c r="E10" s="122">
        <v>1081536.1599999999</v>
      </c>
      <c r="F10" s="122">
        <v>1063163.8999999999</v>
      </c>
      <c r="G10" s="84">
        <f>D10-E10</f>
        <v>124328.33000000007</v>
      </c>
    </row>
    <row r="11" spans="1:7" x14ac:dyDescent="0.25">
      <c r="A11" s="121" t="s">
        <v>511</v>
      </c>
      <c r="B11" s="122">
        <v>3638586.64</v>
      </c>
      <c r="C11" s="122">
        <v>2608631.83</v>
      </c>
      <c r="D11" s="84">
        <f t="shared" ref="D11:D18" si="1">B11+C11</f>
        <v>6247218.4700000007</v>
      </c>
      <c r="E11" s="122">
        <v>5143482.2</v>
      </c>
      <c r="F11" s="122">
        <v>5117914.03</v>
      </c>
      <c r="G11" s="84">
        <f t="shared" ref="G11:G18" si="2">D11-E11</f>
        <v>1103736.2700000005</v>
      </c>
    </row>
    <row r="12" spans="1:7" x14ac:dyDescent="0.25">
      <c r="A12" s="121" t="s">
        <v>512</v>
      </c>
      <c r="B12" s="122">
        <v>4203456.07</v>
      </c>
      <c r="C12" s="122">
        <f>1405584.54-200000</f>
        <v>1205584.54</v>
      </c>
      <c r="D12" s="84">
        <f t="shared" si="1"/>
        <v>5409040.6100000003</v>
      </c>
      <c r="E12" s="122">
        <v>4582029.72</v>
      </c>
      <c r="F12" s="122">
        <v>4492394.12</v>
      </c>
      <c r="G12" s="84">
        <f t="shared" si="2"/>
        <v>827010.8900000006</v>
      </c>
    </row>
    <row r="13" spans="1:7" x14ac:dyDescent="0.25">
      <c r="A13" s="121" t="s">
        <v>513</v>
      </c>
      <c r="B13" s="122">
        <v>10707133.720000001</v>
      </c>
      <c r="C13" s="122">
        <v>5825577.6299999999</v>
      </c>
      <c r="D13" s="84">
        <f t="shared" si="1"/>
        <v>16532711.350000001</v>
      </c>
      <c r="E13" s="122">
        <v>15172700.08</v>
      </c>
      <c r="F13" s="122">
        <v>15164519.220000001</v>
      </c>
      <c r="G13" s="84">
        <f t="shared" si="2"/>
        <v>1360011.2700000014</v>
      </c>
    </row>
    <row r="14" spans="1:7" x14ac:dyDescent="0.25">
      <c r="A14" s="121" t="s">
        <v>514</v>
      </c>
      <c r="B14" s="122">
        <v>810361.98</v>
      </c>
      <c r="C14" s="122">
        <v>268409.75</v>
      </c>
      <c r="D14" s="84">
        <f t="shared" si="1"/>
        <v>1078771.73</v>
      </c>
      <c r="E14" s="122">
        <v>819965.3</v>
      </c>
      <c r="F14" s="122">
        <v>806763.21</v>
      </c>
      <c r="G14" s="84">
        <f t="shared" si="2"/>
        <v>258806.42999999993</v>
      </c>
    </row>
    <row r="15" spans="1:7" x14ac:dyDescent="0.25">
      <c r="A15" s="121" t="s">
        <v>515</v>
      </c>
      <c r="B15" s="122">
        <v>1588173.13</v>
      </c>
      <c r="C15" s="122">
        <f>356517.46-68180.39</f>
        <v>288337.07</v>
      </c>
      <c r="D15" s="84">
        <f t="shared" si="1"/>
        <v>1876510.2</v>
      </c>
      <c r="E15" s="122">
        <f>1701416.55-68180.39</f>
        <v>1633236.1600000001</v>
      </c>
      <c r="F15" s="122">
        <f>1677025.12-68180.39</f>
        <v>1608844.7300000002</v>
      </c>
      <c r="G15" s="84">
        <f t="shared" si="2"/>
        <v>243274.0399999998</v>
      </c>
    </row>
    <row r="16" spans="1:7" x14ac:dyDescent="0.25">
      <c r="A16" s="121" t="s">
        <v>516</v>
      </c>
      <c r="B16" s="122">
        <v>3328489.87</v>
      </c>
      <c r="C16" s="122">
        <v>2412851.85</v>
      </c>
      <c r="D16" s="84">
        <f t="shared" si="1"/>
        <v>5741341.7200000007</v>
      </c>
      <c r="E16" s="122">
        <v>5217033.53</v>
      </c>
      <c r="F16" s="122">
        <v>5195497.26</v>
      </c>
      <c r="G16" s="84">
        <f t="shared" si="2"/>
        <v>524308.19000000041</v>
      </c>
    </row>
    <row r="17" spans="1:7" x14ac:dyDescent="0.25">
      <c r="A17" s="121" t="s">
        <v>517</v>
      </c>
      <c r="B17" s="122">
        <v>8414208.4299999997</v>
      </c>
      <c r="C17" s="122">
        <v>16601633.41</v>
      </c>
      <c r="D17" s="84">
        <f t="shared" si="1"/>
        <v>25015841.84</v>
      </c>
      <c r="E17" s="122">
        <v>21467690.989999998</v>
      </c>
      <c r="F17" s="122">
        <v>21325587.609999999</v>
      </c>
      <c r="G17" s="84">
        <f t="shared" si="2"/>
        <v>3548150.8500000015</v>
      </c>
    </row>
    <row r="18" spans="1:7" x14ac:dyDescent="0.25">
      <c r="A18" s="121" t="s">
        <v>518</v>
      </c>
      <c r="B18" s="122">
        <v>935696.07</v>
      </c>
      <c r="C18" s="122">
        <v>433339.49</v>
      </c>
      <c r="D18" s="84">
        <f t="shared" si="1"/>
        <v>1369035.56</v>
      </c>
      <c r="E18" s="122">
        <v>1035358.93</v>
      </c>
      <c r="F18" s="122">
        <v>1028211.48</v>
      </c>
      <c r="G18" s="84">
        <f t="shared" si="2"/>
        <v>333676.63</v>
      </c>
    </row>
    <row r="19" spans="1:7" x14ac:dyDescent="0.25">
      <c r="A19" s="64" t="s">
        <v>519</v>
      </c>
      <c r="B19" s="78">
        <f t="shared" ref="B19:G19" si="3">SUM(B20:B28)</f>
        <v>0</v>
      </c>
      <c r="C19" s="78">
        <f t="shared" si="3"/>
        <v>268180.39</v>
      </c>
      <c r="D19" s="78">
        <f t="shared" si="3"/>
        <v>268180.39</v>
      </c>
      <c r="E19" s="78">
        <f t="shared" si="3"/>
        <v>68180.39</v>
      </c>
      <c r="F19" s="78">
        <f t="shared" si="3"/>
        <v>68180.39</v>
      </c>
      <c r="G19" s="78">
        <f t="shared" si="3"/>
        <v>200000</v>
      </c>
    </row>
    <row r="20" spans="1:7" x14ac:dyDescent="0.25">
      <c r="A20" s="121" t="s">
        <v>510</v>
      </c>
      <c r="B20" s="84">
        <v>0</v>
      </c>
      <c r="C20" s="84">
        <v>0</v>
      </c>
      <c r="D20" s="84">
        <f t="shared" ref="D20:D28" si="4">B20+C20</f>
        <v>0</v>
      </c>
      <c r="E20" s="84">
        <v>0</v>
      </c>
      <c r="F20" s="84">
        <v>0</v>
      </c>
      <c r="G20" s="84">
        <f t="shared" ref="G20:G28" si="5">D20-E20</f>
        <v>0</v>
      </c>
    </row>
    <row r="21" spans="1:7" x14ac:dyDescent="0.25">
      <c r="A21" s="121" t="s">
        <v>511</v>
      </c>
      <c r="B21" s="84">
        <v>0</v>
      </c>
      <c r="C21" s="84">
        <v>0</v>
      </c>
      <c r="D21" s="84">
        <f t="shared" si="4"/>
        <v>0</v>
      </c>
      <c r="E21" s="84">
        <v>0</v>
      </c>
      <c r="F21" s="84">
        <v>0</v>
      </c>
      <c r="G21" s="84">
        <f t="shared" si="5"/>
        <v>0</v>
      </c>
    </row>
    <row r="22" spans="1:7" x14ac:dyDescent="0.25">
      <c r="A22" s="121" t="s">
        <v>512</v>
      </c>
      <c r="B22" s="84">
        <v>0</v>
      </c>
      <c r="C22" s="84">
        <v>200000</v>
      </c>
      <c r="D22" s="84">
        <f t="shared" si="4"/>
        <v>200000</v>
      </c>
      <c r="E22" s="84">
        <v>0</v>
      </c>
      <c r="F22" s="84">
        <v>0</v>
      </c>
      <c r="G22" s="84">
        <f t="shared" si="5"/>
        <v>200000</v>
      </c>
    </row>
    <row r="23" spans="1:7" x14ac:dyDescent="0.25">
      <c r="A23" s="121" t="s">
        <v>513</v>
      </c>
      <c r="B23" s="84">
        <v>0</v>
      </c>
      <c r="C23" s="84">
        <v>0</v>
      </c>
      <c r="D23" s="84">
        <f t="shared" si="4"/>
        <v>0</v>
      </c>
      <c r="E23" s="84">
        <v>0</v>
      </c>
      <c r="F23" s="84">
        <v>0</v>
      </c>
      <c r="G23" s="84">
        <f t="shared" si="5"/>
        <v>0</v>
      </c>
    </row>
    <row r="24" spans="1:7" x14ac:dyDescent="0.25">
      <c r="A24" s="121" t="s">
        <v>514</v>
      </c>
      <c r="B24" s="84">
        <v>0</v>
      </c>
      <c r="C24" s="84">
        <v>0</v>
      </c>
      <c r="D24" s="84">
        <f t="shared" si="4"/>
        <v>0</v>
      </c>
      <c r="E24" s="84">
        <v>0</v>
      </c>
      <c r="F24" s="84">
        <v>0</v>
      </c>
      <c r="G24" s="84">
        <f t="shared" si="5"/>
        <v>0</v>
      </c>
    </row>
    <row r="25" spans="1:7" x14ac:dyDescent="0.25">
      <c r="A25" s="121" t="s">
        <v>515</v>
      </c>
      <c r="B25" s="84">
        <v>0</v>
      </c>
      <c r="C25" s="84">
        <v>68180.39</v>
      </c>
      <c r="D25" s="84">
        <f t="shared" si="4"/>
        <v>68180.39</v>
      </c>
      <c r="E25" s="84">
        <v>68180.39</v>
      </c>
      <c r="F25" s="84">
        <v>68180.39</v>
      </c>
      <c r="G25" s="84">
        <f t="shared" si="5"/>
        <v>0</v>
      </c>
    </row>
    <row r="26" spans="1:7" x14ac:dyDescent="0.25">
      <c r="A26" s="121" t="s">
        <v>516</v>
      </c>
      <c r="B26" s="84">
        <v>0</v>
      </c>
      <c r="C26" s="84">
        <v>0</v>
      </c>
      <c r="D26" s="84">
        <f t="shared" si="4"/>
        <v>0</v>
      </c>
      <c r="E26" s="84">
        <v>0</v>
      </c>
      <c r="F26" s="84">
        <v>0</v>
      </c>
      <c r="G26" s="84">
        <f t="shared" si="5"/>
        <v>0</v>
      </c>
    </row>
    <row r="27" spans="1:7" x14ac:dyDescent="0.25">
      <c r="A27" s="121" t="s">
        <v>517</v>
      </c>
      <c r="B27" s="84">
        <v>0</v>
      </c>
      <c r="C27" s="84">
        <v>0</v>
      </c>
      <c r="D27" s="84">
        <f t="shared" si="4"/>
        <v>0</v>
      </c>
      <c r="E27" s="84">
        <v>0</v>
      </c>
      <c r="F27" s="84">
        <v>0</v>
      </c>
      <c r="G27" s="84">
        <f t="shared" si="5"/>
        <v>0</v>
      </c>
    </row>
    <row r="28" spans="1:7" x14ac:dyDescent="0.25">
      <c r="A28" s="121" t="s">
        <v>518</v>
      </c>
      <c r="B28" s="81">
        <v>0</v>
      </c>
      <c r="C28" s="81">
        <v>0</v>
      </c>
      <c r="D28" s="84">
        <f t="shared" si="4"/>
        <v>0</v>
      </c>
      <c r="E28" s="84">
        <v>0</v>
      </c>
      <c r="F28" s="84">
        <v>0</v>
      </c>
      <c r="G28" s="84">
        <f t="shared" si="5"/>
        <v>0</v>
      </c>
    </row>
    <row r="29" spans="1:7" x14ac:dyDescent="0.25">
      <c r="A29" s="64" t="s">
        <v>506</v>
      </c>
      <c r="B29" s="78">
        <f>B9+B19</f>
        <v>34709337.149999999</v>
      </c>
      <c r="C29" s="78">
        <f>C9+C19</f>
        <v>30035179.209999997</v>
      </c>
      <c r="D29" s="78">
        <f>B29+C29</f>
        <v>64744516.359999999</v>
      </c>
      <c r="E29" s="78">
        <f>E9+E19</f>
        <v>56221213.460000001</v>
      </c>
      <c r="F29" s="78">
        <f>F9+F19</f>
        <v>55871075.950000003</v>
      </c>
      <c r="G29" s="78">
        <f>D29-E29</f>
        <v>8523302.8999999985</v>
      </c>
    </row>
    <row r="30" spans="1:7" x14ac:dyDescent="0.25">
      <c r="A30" s="82"/>
      <c r="B30" s="123"/>
      <c r="C30" s="123"/>
      <c r="D30" s="123"/>
      <c r="E30" s="123"/>
      <c r="F30" s="123"/>
      <c r="G30" s="123"/>
    </row>
    <row r="32" spans="1:7" x14ac:dyDescent="0.25">
      <c r="C32" s="109"/>
    </row>
    <row r="36" spans="3:7" x14ac:dyDescent="0.25">
      <c r="C36" s="94"/>
      <c r="D36" s="94"/>
      <c r="E36" s="94"/>
      <c r="F36" s="94"/>
      <c r="G36" s="94"/>
    </row>
    <row r="37" spans="3:7" x14ac:dyDescent="0.25">
      <c r="D37" s="9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XFD84"/>
  <sheetViews>
    <sheetView topLeftCell="A43" zoomScale="70" zoomScaleNormal="70" workbookViewId="0">
      <selection activeCell="G39" sqref="G39"/>
    </sheetView>
  </sheetViews>
  <sheetFormatPr baseColWidth="10" defaultRowHeight="15" x14ac:dyDescent="0.25"/>
  <cols>
    <col min="1" max="1" width="70.28515625" customWidth="1"/>
    <col min="2" max="7" width="22" customWidth="1"/>
    <col min="9" max="9" width="29.140625" customWidth="1"/>
  </cols>
  <sheetData>
    <row r="1" spans="1:9" ht="51.75" customHeight="1" x14ac:dyDescent="0.25">
      <c r="A1" s="223" t="s">
        <v>520</v>
      </c>
      <c r="B1" s="224"/>
      <c r="C1" s="224"/>
      <c r="D1" s="224"/>
      <c r="E1" s="224"/>
      <c r="F1" s="224"/>
      <c r="G1" s="224"/>
    </row>
    <row r="2" spans="1:9" x14ac:dyDescent="0.25">
      <c r="A2" s="203" t="s">
        <v>1</v>
      </c>
      <c r="B2" s="204"/>
      <c r="C2" s="204"/>
      <c r="D2" s="204"/>
      <c r="E2" s="204"/>
      <c r="F2" s="204"/>
      <c r="G2" s="205"/>
    </row>
    <row r="3" spans="1:9" x14ac:dyDescent="0.25">
      <c r="A3" s="206" t="s">
        <v>521</v>
      </c>
      <c r="B3" s="207"/>
      <c r="C3" s="207"/>
      <c r="D3" s="207"/>
      <c r="E3" s="207"/>
      <c r="F3" s="207"/>
      <c r="G3" s="208"/>
    </row>
    <row r="4" spans="1:9" x14ac:dyDescent="0.25">
      <c r="A4" s="206" t="s">
        <v>522</v>
      </c>
      <c r="B4" s="207"/>
      <c r="C4" s="207"/>
      <c r="D4" s="207"/>
      <c r="E4" s="207"/>
      <c r="F4" s="207"/>
      <c r="G4" s="208"/>
    </row>
    <row r="5" spans="1:9" x14ac:dyDescent="0.25">
      <c r="A5" s="206" t="s">
        <v>750</v>
      </c>
      <c r="B5" s="207"/>
      <c r="C5" s="207"/>
      <c r="D5" s="207"/>
      <c r="E5" s="207"/>
      <c r="F5" s="207"/>
      <c r="G5" s="208"/>
    </row>
    <row r="6" spans="1:9" x14ac:dyDescent="0.25">
      <c r="A6" s="209" t="s">
        <v>3</v>
      </c>
      <c r="B6" s="210"/>
      <c r="C6" s="210"/>
      <c r="D6" s="210"/>
      <c r="E6" s="210"/>
      <c r="F6" s="210"/>
      <c r="G6" s="211"/>
    </row>
    <row r="7" spans="1:9" x14ac:dyDescent="0.25">
      <c r="A7" s="207" t="s">
        <v>5</v>
      </c>
      <c r="B7" s="209" t="s">
        <v>299</v>
      </c>
      <c r="C7" s="210"/>
      <c r="D7" s="210"/>
      <c r="E7" s="210"/>
      <c r="F7" s="211"/>
      <c r="G7" s="217" t="s">
        <v>523</v>
      </c>
    </row>
    <row r="8" spans="1:9" ht="30" x14ac:dyDescent="0.25">
      <c r="A8" s="207"/>
      <c r="B8" s="99" t="s">
        <v>301</v>
      </c>
      <c r="C8" s="63" t="s">
        <v>524</v>
      </c>
      <c r="D8" s="99" t="s">
        <v>303</v>
      </c>
      <c r="E8" s="99" t="s">
        <v>187</v>
      </c>
      <c r="F8" s="124" t="s">
        <v>204</v>
      </c>
      <c r="G8" s="216"/>
    </row>
    <row r="9" spans="1:9" x14ac:dyDescent="0.25">
      <c r="A9" s="100" t="s">
        <v>525</v>
      </c>
      <c r="B9" s="125">
        <f t="shared" ref="B9:G9" si="0">B10+B19+B27+B37</f>
        <v>34709337.149999999</v>
      </c>
      <c r="C9" s="125">
        <f t="shared" si="0"/>
        <v>29766998.82</v>
      </c>
      <c r="D9" s="125">
        <f t="shared" si="0"/>
        <v>64476335.969999999</v>
      </c>
      <c r="E9" s="125">
        <f t="shared" si="0"/>
        <v>56153033.07</v>
      </c>
      <c r="F9" s="125">
        <f t="shared" si="0"/>
        <v>55802895.560000002</v>
      </c>
      <c r="G9" s="125">
        <f t="shared" si="0"/>
        <v>8323302.8999999985</v>
      </c>
      <c r="I9" s="94"/>
    </row>
    <row r="10" spans="1:9" x14ac:dyDescent="0.25">
      <c r="A10" s="66" t="s">
        <v>526</v>
      </c>
      <c r="B10" s="126">
        <f t="shared" ref="B10:G10" si="1">SUM(B11:B18)</f>
        <v>10671332</v>
      </c>
      <c r="C10" s="126">
        <f t="shared" si="1"/>
        <v>4009322.1500000004</v>
      </c>
      <c r="D10" s="126">
        <f t="shared" si="1"/>
        <v>14680654.15</v>
      </c>
      <c r="E10" s="126">
        <f t="shared" si="1"/>
        <v>12363590.380000001</v>
      </c>
      <c r="F10" s="126">
        <f t="shared" si="1"/>
        <v>12212033.49</v>
      </c>
      <c r="G10" s="126">
        <f t="shared" si="1"/>
        <v>2317063.7700000009</v>
      </c>
      <c r="I10" s="94"/>
    </row>
    <row r="11" spans="1:9" x14ac:dyDescent="0.25">
      <c r="A11" s="103" t="s">
        <v>527</v>
      </c>
      <c r="B11" s="126"/>
      <c r="C11" s="126"/>
      <c r="D11" s="126">
        <f>B11+C11</f>
        <v>0</v>
      </c>
      <c r="E11" s="126"/>
      <c r="F11" s="126"/>
      <c r="G11" s="126">
        <f>D11-E11</f>
        <v>0</v>
      </c>
      <c r="H11" s="127" t="s">
        <v>528</v>
      </c>
      <c r="I11" s="94"/>
    </row>
    <row r="12" spans="1:9" x14ac:dyDescent="0.25">
      <c r="A12" s="103" t="s">
        <v>529</v>
      </c>
      <c r="B12" s="126"/>
      <c r="C12" s="126"/>
      <c r="D12" s="126">
        <f t="shared" ref="D12:D18" si="2">B12+C12</f>
        <v>0</v>
      </c>
      <c r="E12" s="126"/>
      <c r="F12" s="126"/>
      <c r="G12" s="126">
        <f t="shared" ref="G12:G18" si="3">D12-E12</f>
        <v>0</v>
      </c>
      <c r="H12" s="127" t="s">
        <v>530</v>
      </c>
      <c r="I12" s="94"/>
    </row>
    <row r="13" spans="1:9" x14ac:dyDescent="0.25">
      <c r="A13" s="103" t="s">
        <v>531</v>
      </c>
      <c r="B13" s="128">
        <v>2829289.29</v>
      </c>
      <c r="C13" s="128">
        <v>824382.49</v>
      </c>
      <c r="D13" s="126">
        <f t="shared" si="2"/>
        <v>3653671.7800000003</v>
      </c>
      <c r="E13" s="128">
        <v>2936860.39</v>
      </c>
      <c r="F13" s="128">
        <v>2898138.59</v>
      </c>
      <c r="G13" s="126">
        <f t="shared" si="3"/>
        <v>716811.39000000013</v>
      </c>
      <c r="H13" s="127" t="s">
        <v>532</v>
      </c>
      <c r="I13" s="94"/>
    </row>
    <row r="14" spans="1:9" x14ac:dyDescent="0.25">
      <c r="A14" s="103" t="s">
        <v>533</v>
      </c>
      <c r="B14" s="126"/>
      <c r="C14" s="126"/>
      <c r="D14" s="126">
        <f t="shared" si="2"/>
        <v>0</v>
      </c>
      <c r="E14" s="126"/>
      <c r="F14" s="126"/>
      <c r="G14" s="126">
        <f t="shared" si="3"/>
        <v>0</v>
      </c>
      <c r="H14" s="127" t="s">
        <v>534</v>
      </c>
      <c r="I14" s="94"/>
    </row>
    <row r="15" spans="1:9" x14ac:dyDescent="0.25">
      <c r="A15" s="103" t="s">
        <v>535</v>
      </c>
      <c r="B15" s="128">
        <v>3638586.64</v>
      </c>
      <c r="C15" s="128">
        <v>2608631.83</v>
      </c>
      <c r="D15" s="126">
        <f t="shared" si="2"/>
        <v>6247218.4700000007</v>
      </c>
      <c r="E15" s="128">
        <v>5143357.24</v>
      </c>
      <c r="F15" s="128">
        <v>5117789.07</v>
      </c>
      <c r="G15" s="126">
        <f t="shared" si="3"/>
        <v>1103861.2300000004</v>
      </c>
      <c r="H15" s="127" t="s">
        <v>536</v>
      </c>
      <c r="I15" s="94"/>
    </row>
    <row r="16" spans="1:9" x14ac:dyDescent="0.25">
      <c r="A16" s="103" t="s">
        <v>537</v>
      </c>
      <c r="B16" s="126"/>
      <c r="C16" s="126"/>
      <c r="D16" s="126">
        <f t="shared" si="2"/>
        <v>0</v>
      </c>
      <c r="E16" s="126"/>
      <c r="F16" s="126"/>
      <c r="G16" s="126">
        <f t="shared" si="3"/>
        <v>0</v>
      </c>
      <c r="H16" s="127" t="s">
        <v>538</v>
      </c>
      <c r="I16" s="94"/>
    </row>
    <row r="17" spans="1:9" x14ac:dyDescent="0.25">
      <c r="A17" s="103" t="s">
        <v>539</v>
      </c>
      <c r="B17" s="126"/>
      <c r="C17" s="126"/>
      <c r="D17" s="126">
        <f t="shared" si="2"/>
        <v>0</v>
      </c>
      <c r="E17" s="126"/>
      <c r="F17" s="126"/>
      <c r="G17" s="126">
        <f t="shared" si="3"/>
        <v>0</v>
      </c>
      <c r="H17" s="127" t="s">
        <v>540</v>
      </c>
      <c r="I17" s="94"/>
    </row>
    <row r="18" spans="1:9" x14ac:dyDescent="0.25">
      <c r="A18" s="103" t="s">
        <v>541</v>
      </c>
      <c r="B18" s="128">
        <v>4203456.07</v>
      </c>
      <c r="C18" s="128">
        <f>576307.83</f>
        <v>576307.82999999996</v>
      </c>
      <c r="D18" s="126">
        <f t="shared" si="2"/>
        <v>4779763.9000000004</v>
      </c>
      <c r="E18" s="128">
        <v>4283372.75</v>
      </c>
      <c r="F18" s="128">
        <v>4196105.83</v>
      </c>
      <c r="G18" s="126">
        <f t="shared" si="3"/>
        <v>496391.15000000037</v>
      </c>
      <c r="H18" s="127" t="s">
        <v>542</v>
      </c>
      <c r="I18" s="94"/>
    </row>
    <row r="19" spans="1:9" x14ac:dyDescent="0.25">
      <c r="A19" s="66" t="s">
        <v>543</v>
      </c>
      <c r="B19" s="126">
        <f t="shared" ref="B19:G19" si="4">SUM(B20:B26)</f>
        <v>24038005.149999999</v>
      </c>
      <c r="C19" s="126">
        <f t="shared" si="4"/>
        <v>25757676.670000002</v>
      </c>
      <c r="D19" s="126">
        <f t="shared" si="4"/>
        <v>49795681.82</v>
      </c>
      <c r="E19" s="126">
        <f t="shared" si="4"/>
        <v>43789442.689999998</v>
      </c>
      <c r="F19" s="126">
        <f t="shared" si="4"/>
        <v>43590862.07</v>
      </c>
      <c r="G19" s="126">
        <f>SUM(G20:G26)</f>
        <v>6006239.1299999971</v>
      </c>
      <c r="I19" s="94"/>
    </row>
    <row r="20" spans="1:9" x14ac:dyDescent="0.25">
      <c r="A20" s="103" t="s">
        <v>544</v>
      </c>
      <c r="B20" s="128">
        <v>4916663</v>
      </c>
      <c r="C20" s="128">
        <f>2667369.31-68180.39</f>
        <v>2599188.92</v>
      </c>
      <c r="D20" s="126">
        <f t="shared" ref="D20:D21" si="5">B20+C20</f>
        <v>7515851.9199999999</v>
      </c>
      <c r="E20" s="128">
        <f>6877394.12-68180.39</f>
        <v>6809213.7300000004</v>
      </c>
      <c r="F20" s="128">
        <f>6831466.42-68180.39</f>
        <v>6763286.0300000003</v>
      </c>
      <c r="G20" s="126">
        <f t="shared" ref="G20:G26" si="6">D20-E20</f>
        <v>706638.18999999948</v>
      </c>
      <c r="H20" s="127" t="s">
        <v>545</v>
      </c>
      <c r="I20" s="94"/>
    </row>
    <row r="21" spans="1:9" x14ac:dyDescent="0.25">
      <c r="A21" s="103" t="s">
        <v>546</v>
      </c>
      <c r="B21" s="128">
        <v>19121342.149999999</v>
      </c>
      <c r="C21" s="128">
        <f>23358487.75-200000</f>
        <v>23158487.75</v>
      </c>
      <c r="D21" s="126">
        <f t="shared" si="5"/>
        <v>42279829.899999999</v>
      </c>
      <c r="E21" s="128">
        <v>36980228.960000001</v>
      </c>
      <c r="F21" s="128">
        <v>36827576.039999999</v>
      </c>
      <c r="G21" s="126">
        <f t="shared" si="6"/>
        <v>5299600.9399999976</v>
      </c>
      <c r="H21" s="127" t="s">
        <v>547</v>
      </c>
      <c r="I21" s="94"/>
    </row>
    <row r="22" spans="1:9" x14ac:dyDescent="0.25">
      <c r="A22" s="103" t="s">
        <v>548</v>
      </c>
      <c r="B22" s="126"/>
      <c r="C22" s="126"/>
      <c r="D22" s="126">
        <f t="shared" ref="D22:D26" si="7">B22+C22</f>
        <v>0</v>
      </c>
      <c r="E22" s="126"/>
      <c r="F22" s="126"/>
      <c r="G22" s="126">
        <f t="shared" si="6"/>
        <v>0</v>
      </c>
      <c r="H22" s="127" t="s">
        <v>549</v>
      </c>
      <c r="I22" s="94"/>
    </row>
    <row r="23" spans="1:9" x14ac:dyDescent="0.25">
      <c r="A23" s="103" t="s">
        <v>550</v>
      </c>
      <c r="B23" s="126"/>
      <c r="C23" s="126"/>
      <c r="D23" s="126">
        <f t="shared" si="7"/>
        <v>0</v>
      </c>
      <c r="E23" s="126"/>
      <c r="F23" s="126"/>
      <c r="G23" s="126">
        <f t="shared" si="6"/>
        <v>0</v>
      </c>
      <c r="H23" s="127" t="s">
        <v>551</v>
      </c>
      <c r="I23" s="94"/>
    </row>
    <row r="24" spans="1:9" x14ac:dyDescent="0.25">
      <c r="A24" s="103" t="s">
        <v>552</v>
      </c>
      <c r="B24" s="126"/>
      <c r="C24" s="126"/>
      <c r="D24" s="126">
        <f t="shared" si="7"/>
        <v>0</v>
      </c>
      <c r="E24" s="126"/>
      <c r="F24" s="126"/>
      <c r="G24" s="126">
        <f t="shared" si="6"/>
        <v>0</v>
      </c>
      <c r="H24" s="127" t="s">
        <v>553</v>
      </c>
      <c r="I24" s="94"/>
    </row>
    <row r="25" spans="1:9" x14ac:dyDescent="0.25">
      <c r="A25" s="103" t="s">
        <v>554</v>
      </c>
      <c r="B25" s="126"/>
      <c r="C25" s="126"/>
      <c r="D25" s="126">
        <f t="shared" si="7"/>
        <v>0</v>
      </c>
      <c r="E25" s="126"/>
      <c r="F25" s="126"/>
      <c r="G25" s="126">
        <f t="shared" si="6"/>
        <v>0</v>
      </c>
      <c r="H25" s="127" t="s">
        <v>555</v>
      </c>
      <c r="I25" s="94"/>
    </row>
    <row r="26" spans="1:9" x14ac:dyDescent="0.25">
      <c r="A26" s="103" t="s">
        <v>556</v>
      </c>
      <c r="B26" s="126"/>
      <c r="C26" s="126"/>
      <c r="D26" s="126">
        <f t="shared" si="7"/>
        <v>0</v>
      </c>
      <c r="E26" s="126"/>
      <c r="F26" s="126"/>
      <c r="G26" s="126">
        <f t="shared" si="6"/>
        <v>0</v>
      </c>
      <c r="H26" s="127" t="s">
        <v>557</v>
      </c>
      <c r="I26" s="94"/>
    </row>
    <row r="27" spans="1:9" x14ac:dyDescent="0.25">
      <c r="A27" s="66" t="s">
        <v>558</v>
      </c>
      <c r="B27" s="126">
        <f t="shared" ref="B27:G27" si="8">SUM(B28:B36)</f>
        <v>0</v>
      </c>
      <c r="C27" s="126">
        <f t="shared" si="8"/>
        <v>0</v>
      </c>
      <c r="D27" s="126">
        <f t="shared" si="8"/>
        <v>0</v>
      </c>
      <c r="E27" s="126">
        <f t="shared" si="8"/>
        <v>0</v>
      </c>
      <c r="F27" s="126">
        <f t="shared" si="8"/>
        <v>0</v>
      </c>
      <c r="G27" s="126">
        <f t="shared" si="8"/>
        <v>0</v>
      </c>
      <c r="I27" s="94"/>
    </row>
    <row r="28" spans="1:9" x14ac:dyDescent="0.25">
      <c r="A28" s="105" t="s">
        <v>559</v>
      </c>
      <c r="B28" s="126"/>
      <c r="C28" s="126"/>
      <c r="D28" s="126">
        <f t="shared" ref="D28:D36" si="9">B28+C28</f>
        <v>0</v>
      </c>
      <c r="E28" s="126"/>
      <c r="F28" s="126"/>
      <c r="G28" s="126">
        <f t="shared" ref="G28:G36" si="10">D28-E28</f>
        <v>0</v>
      </c>
      <c r="H28" s="127" t="s">
        <v>560</v>
      </c>
      <c r="I28" s="94"/>
    </row>
    <row r="29" spans="1:9" x14ac:dyDescent="0.25">
      <c r="A29" s="103" t="s">
        <v>561</v>
      </c>
      <c r="B29" s="126"/>
      <c r="C29" s="126"/>
      <c r="D29" s="126">
        <f t="shared" si="9"/>
        <v>0</v>
      </c>
      <c r="E29" s="126"/>
      <c r="F29" s="126"/>
      <c r="G29" s="126">
        <f t="shared" si="10"/>
        <v>0</v>
      </c>
      <c r="H29" s="127" t="s">
        <v>562</v>
      </c>
      <c r="I29" s="94"/>
    </row>
    <row r="30" spans="1:9" x14ac:dyDescent="0.25">
      <c r="A30" s="103" t="s">
        <v>563</v>
      </c>
      <c r="B30" s="126"/>
      <c r="C30" s="126"/>
      <c r="D30" s="126">
        <f t="shared" si="9"/>
        <v>0</v>
      </c>
      <c r="E30" s="126"/>
      <c r="F30" s="126"/>
      <c r="G30" s="126">
        <f t="shared" si="10"/>
        <v>0</v>
      </c>
      <c r="H30" s="127" t="s">
        <v>564</v>
      </c>
      <c r="I30" s="94"/>
    </row>
    <row r="31" spans="1:9" x14ac:dyDescent="0.25">
      <c r="A31" s="103" t="s">
        <v>565</v>
      </c>
      <c r="B31" s="126"/>
      <c r="C31" s="126"/>
      <c r="D31" s="126">
        <f t="shared" si="9"/>
        <v>0</v>
      </c>
      <c r="E31" s="126"/>
      <c r="F31" s="126"/>
      <c r="G31" s="126">
        <f t="shared" si="10"/>
        <v>0</v>
      </c>
      <c r="H31" s="127" t="s">
        <v>566</v>
      </c>
      <c r="I31" s="94"/>
    </row>
    <row r="32" spans="1:9" x14ac:dyDescent="0.25">
      <c r="A32" s="103" t="s">
        <v>567</v>
      </c>
      <c r="B32" s="126"/>
      <c r="C32" s="126"/>
      <c r="D32" s="126">
        <f t="shared" si="9"/>
        <v>0</v>
      </c>
      <c r="E32" s="126"/>
      <c r="F32" s="126"/>
      <c r="G32" s="126">
        <f t="shared" si="10"/>
        <v>0</v>
      </c>
      <c r="H32" s="127" t="s">
        <v>568</v>
      </c>
      <c r="I32" s="94"/>
    </row>
    <row r="33" spans="1:9" x14ac:dyDescent="0.25">
      <c r="A33" s="103" t="s">
        <v>569</v>
      </c>
      <c r="B33" s="126"/>
      <c r="C33" s="126"/>
      <c r="D33" s="126">
        <f t="shared" si="9"/>
        <v>0</v>
      </c>
      <c r="E33" s="126"/>
      <c r="F33" s="126"/>
      <c r="G33" s="126">
        <f t="shared" si="10"/>
        <v>0</v>
      </c>
      <c r="H33" s="127" t="s">
        <v>570</v>
      </c>
      <c r="I33" s="94"/>
    </row>
    <row r="34" spans="1:9" x14ac:dyDescent="0.25">
      <c r="A34" s="103" t="s">
        <v>571</v>
      </c>
      <c r="B34" s="126"/>
      <c r="C34" s="126"/>
      <c r="D34" s="126">
        <f t="shared" si="9"/>
        <v>0</v>
      </c>
      <c r="E34" s="126"/>
      <c r="F34" s="126"/>
      <c r="G34" s="126">
        <f t="shared" si="10"/>
        <v>0</v>
      </c>
      <c r="H34" s="127" t="s">
        <v>572</v>
      </c>
      <c r="I34" s="94"/>
    </row>
    <row r="35" spans="1:9" x14ac:dyDescent="0.25">
      <c r="A35" s="103" t="s">
        <v>573</v>
      </c>
      <c r="B35" s="126"/>
      <c r="C35" s="126"/>
      <c r="D35" s="126">
        <f t="shared" si="9"/>
        <v>0</v>
      </c>
      <c r="E35" s="126"/>
      <c r="F35" s="126"/>
      <c r="G35" s="126">
        <f t="shared" si="10"/>
        <v>0</v>
      </c>
      <c r="H35" s="127" t="s">
        <v>574</v>
      </c>
      <c r="I35" s="94"/>
    </row>
    <row r="36" spans="1:9" x14ac:dyDescent="0.25">
      <c r="A36" s="103" t="s">
        <v>575</v>
      </c>
      <c r="B36" s="126"/>
      <c r="C36" s="126"/>
      <c r="D36" s="126">
        <f t="shared" si="9"/>
        <v>0</v>
      </c>
      <c r="E36" s="126"/>
      <c r="F36" s="126"/>
      <c r="G36" s="126">
        <f t="shared" si="10"/>
        <v>0</v>
      </c>
      <c r="H36" s="127" t="s">
        <v>576</v>
      </c>
      <c r="I36" s="94"/>
    </row>
    <row r="37" spans="1:9" ht="30" x14ac:dyDescent="0.25">
      <c r="A37" s="129" t="s">
        <v>577</v>
      </c>
      <c r="B37" s="126">
        <f t="shared" ref="B37:G37" si="11">SUM(B38:B41)</f>
        <v>0</v>
      </c>
      <c r="C37" s="126">
        <f t="shared" si="11"/>
        <v>0</v>
      </c>
      <c r="D37" s="126">
        <f t="shared" si="11"/>
        <v>0</v>
      </c>
      <c r="E37" s="126">
        <f t="shared" si="11"/>
        <v>0</v>
      </c>
      <c r="F37" s="126">
        <f t="shared" si="11"/>
        <v>0</v>
      </c>
      <c r="G37" s="126">
        <f t="shared" si="11"/>
        <v>0</v>
      </c>
      <c r="I37" s="94"/>
    </row>
    <row r="38" spans="1:9" ht="30" x14ac:dyDescent="0.25">
      <c r="A38" s="105" t="s">
        <v>578</v>
      </c>
      <c r="B38" s="126"/>
      <c r="C38" s="126"/>
      <c r="D38" s="126">
        <f>B38+C38</f>
        <v>0</v>
      </c>
      <c r="E38" s="126"/>
      <c r="F38" s="126"/>
      <c r="G38" s="126">
        <f>D38-E38</f>
        <v>0</v>
      </c>
      <c r="H38" s="127" t="s">
        <v>579</v>
      </c>
      <c r="I38" s="94"/>
    </row>
    <row r="39" spans="1:9" ht="30" x14ac:dyDescent="0.25">
      <c r="A39" s="105" t="s">
        <v>580</v>
      </c>
      <c r="B39" s="126"/>
      <c r="C39" s="126"/>
      <c r="D39" s="126">
        <f>B39+C39</f>
        <v>0</v>
      </c>
      <c r="E39" s="126"/>
      <c r="F39" s="126"/>
      <c r="G39" s="126">
        <f>D39-E39</f>
        <v>0</v>
      </c>
      <c r="H39" s="127" t="s">
        <v>581</v>
      </c>
      <c r="I39" s="94"/>
    </row>
    <row r="40" spans="1:9" x14ac:dyDescent="0.25">
      <c r="A40" s="105" t="s">
        <v>582</v>
      </c>
      <c r="B40" s="126"/>
      <c r="C40" s="126"/>
      <c r="D40" s="126">
        <f>B40+C40</f>
        <v>0</v>
      </c>
      <c r="E40" s="126"/>
      <c r="F40" s="126"/>
      <c r="G40" s="126">
        <f>D40-E40</f>
        <v>0</v>
      </c>
      <c r="H40" s="127" t="s">
        <v>583</v>
      </c>
      <c r="I40" s="94"/>
    </row>
    <row r="41" spans="1:9" x14ac:dyDescent="0.25">
      <c r="A41" s="105" t="s">
        <v>584</v>
      </c>
      <c r="B41" s="126"/>
      <c r="C41" s="126"/>
      <c r="D41" s="126">
        <f>B41+C41</f>
        <v>0</v>
      </c>
      <c r="E41" s="126"/>
      <c r="F41" s="126"/>
      <c r="G41" s="126">
        <f>D41-E41</f>
        <v>0</v>
      </c>
      <c r="H41" s="127" t="s">
        <v>585</v>
      </c>
      <c r="I41" s="94"/>
    </row>
    <row r="42" spans="1:9" x14ac:dyDescent="0.25">
      <c r="A42" s="105"/>
      <c r="B42" s="126"/>
      <c r="C42" s="126"/>
      <c r="D42" s="126"/>
      <c r="E42" s="126"/>
      <c r="F42" s="126"/>
      <c r="G42" s="126"/>
      <c r="I42" s="94"/>
    </row>
    <row r="43" spans="1:9" x14ac:dyDescent="0.25">
      <c r="A43" s="64" t="s">
        <v>586</v>
      </c>
      <c r="B43" s="130">
        <f t="shared" ref="B43:G43" si="12">B44+B53+B61+B71</f>
        <v>0</v>
      </c>
      <c r="C43" s="130">
        <f t="shared" si="12"/>
        <v>268180.39</v>
      </c>
      <c r="D43" s="130">
        <f t="shared" si="12"/>
        <v>268180.39</v>
      </c>
      <c r="E43" s="130">
        <f t="shared" si="12"/>
        <v>68180.39</v>
      </c>
      <c r="F43" s="130">
        <f t="shared" si="12"/>
        <v>68180.39</v>
      </c>
      <c r="G43" s="130">
        <f t="shared" si="12"/>
        <v>200000</v>
      </c>
      <c r="I43" s="94"/>
    </row>
    <row r="44" spans="1:9" x14ac:dyDescent="0.25">
      <c r="A44" s="66" t="s">
        <v>587</v>
      </c>
      <c r="B44" s="126">
        <f t="shared" ref="B44:G44" si="13">SUM(B45:B52)</f>
        <v>0</v>
      </c>
      <c r="C44" s="126">
        <f t="shared" si="13"/>
        <v>0</v>
      </c>
      <c r="D44" s="126">
        <f t="shared" si="13"/>
        <v>0</v>
      </c>
      <c r="E44" s="126">
        <f t="shared" si="13"/>
        <v>0</v>
      </c>
      <c r="F44" s="126">
        <f t="shared" si="13"/>
        <v>0</v>
      </c>
      <c r="G44" s="126">
        <f t="shared" si="13"/>
        <v>0</v>
      </c>
      <c r="I44" s="94"/>
    </row>
    <row r="45" spans="1:9" x14ac:dyDescent="0.25">
      <c r="A45" s="105" t="s">
        <v>527</v>
      </c>
      <c r="B45" s="126"/>
      <c r="C45" s="126"/>
      <c r="D45" s="126">
        <f t="shared" ref="D45:D52" si="14">B45+C45</f>
        <v>0</v>
      </c>
      <c r="E45" s="126"/>
      <c r="F45" s="126"/>
      <c r="G45" s="126">
        <f t="shared" ref="G45:G52" si="15">D45-E45</f>
        <v>0</v>
      </c>
      <c r="H45" s="127" t="s">
        <v>588</v>
      </c>
      <c r="I45" s="94"/>
    </row>
    <row r="46" spans="1:9" x14ac:dyDescent="0.25">
      <c r="A46" s="105" t="s">
        <v>529</v>
      </c>
      <c r="B46" s="126"/>
      <c r="C46" s="126"/>
      <c r="D46" s="126">
        <f t="shared" si="14"/>
        <v>0</v>
      </c>
      <c r="E46" s="126"/>
      <c r="F46" s="126"/>
      <c r="G46" s="126">
        <f t="shared" si="15"/>
        <v>0</v>
      </c>
      <c r="H46" s="127" t="s">
        <v>589</v>
      </c>
      <c r="I46" s="94"/>
    </row>
    <row r="47" spans="1:9" x14ac:dyDescent="0.25">
      <c r="A47" s="105" t="s">
        <v>531</v>
      </c>
      <c r="B47" s="126"/>
      <c r="C47" s="126"/>
      <c r="D47" s="126">
        <f t="shared" si="14"/>
        <v>0</v>
      </c>
      <c r="E47" s="126"/>
      <c r="F47" s="126"/>
      <c r="G47" s="126">
        <f t="shared" si="15"/>
        <v>0</v>
      </c>
      <c r="H47" s="127" t="s">
        <v>590</v>
      </c>
      <c r="I47" s="94"/>
    </row>
    <row r="48" spans="1:9" x14ac:dyDescent="0.25">
      <c r="A48" s="105" t="s">
        <v>533</v>
      </c>
      <c r="B48" s="126"/>
      <c r="C48" s="126"/>
      <c r="D48" s="126">
        <f t="shared" si="14"/>
        <v>0</v>
      </c>
      <c r="E48" s="126"/>
      <c r="F48" s="126"/>
      <c r="G48" s="126">
        <f t="shared" si="15"/>
        <v>0</v>
      </c>
      <c r="H48" s="127" t="s">
        <v>591</v>
      </c>
      <c r="I48" s="94"/>
    </row>
    <row r="49" spans="1:9" x14ac:dyDescent="0.25">
      <c r="A49" s="105" t="s">
        <v>535</v>
      </c>
      <c r="B49" s="126"/>
      <c r="C49" s="126"/>
      <c r="D49" s="126">
        <f t="shared" si="14"/>
        <v>0</v>
      </c>
      <c r="E49" s="126"/>
      <c r="F49" s="126"/>
      <c r="G49" s="126">
        <f t="shared" si="15"/>
        <v>0</v>
      </c>
      <c r="H49" s="127" t="s">
        <v>592</v>
      </c>
      <c r="I49" s="94"/>
    </row>
    <row r="50" spans="1:9" x14ac:dyDescent="0.25">
      <c r="A50" s="105" t="s">
        <v>537</v>
      </c>
      <c r="B50" s="126"/>
      <c r="C50" s="126"/>
      <c r="D50" s="126">
        <f t="shared" si="14"/>
        <v>0</v>
      </c>
      <c r="E50" s="126"/>
      <c r="F50" s="126"/>
      <c r="G50" s="126">
        <f t="shared" si="15"/>
        <v>0</v>
      </c>
      <c r="H50" s="127" t="s">
        <v>593</v>
      </c>
      <c r="I50" s="94"/>
    </row>
    <row r="51" spans="1:9" x14ac:dyDescent="0.25">
      <c r="A51" s="105" t="s">
        <v>539</v>
      </c>
      <c r="B51" s="126"/>
      <c r="C51" s="126"/>
      <c r="D51" s="126">
        <f t="shared" si="14"/>
        <v>0</v>
      </c>
      <c r="E51" s="126"/>
      <c r="F51" s="126"/>
      <c r="G51" s="126">
        <f t="shared" si="15"/>
        <v>0</v>
      </c>
      <c r="H51" s="127" t="s">
        <v>594</v>
      </c>
      <c r="I51" s="94"/>
    </row>
    <row r="52" spans="1:9" x14ac:dyDescent="0.25">
      <c r="A52" s="105" t="s">
        <v>541</v>
      </c>
      <c r="B52" s="126"/>
      <c r="C52" s="126"/>
      <c r="D52" s="126">
        <f t="shared" si="14"/>
        <v>0</v>
      </c>
      <c r="E52" s="126"/>
      <c r="F52" s="126"/>
      <c r="G52" s="126">
        <f t="shared" si="15"/>
        <v>0</v>
      </c>
      <c r="H52" s="127" t="s">
        <v>595</v>
      </c>
      <c r="I52" s="94"/>
    </row>
    <row r="53" spans="1:9" x14ac:dyDescent="0.25">
      <c r="A53" s="66" t="s">
        <v>543</v>
      </c>
      <c r="B53" s="126">
        <f t="shared" ref="B53:G53" si="16">SUM(B54:B60)</f>
        <v>0</v>
      </c>
      <c r="C53" s="126">
        <f t="shared" si="16"/>
        <v>268180.39</v>
      </c>
      <c r="D53" s="126">
        <f t="shared" si="16"/>
        <v>268180.39</v>
      </c>
      <c r="E53" s="126">
        <f t="shared" si="16"/>
        <v>68180.39</v>
      </c>
      <c r="F53" s="126">
        <f t="shared" si="16"/>
        <v>68180.39</v>
      </c>
      <c r="G53" s="126">
        <f t="shared" si="16"/>
        <v>200000</v>
      </c>
      <c r="I53" s="94"/>
    </row>
    <row r="54" spans="1:9" x14ac:dyDescent="0.25">
      <c r="A54" s="105" t="s">
        <v>544</v>
      </c>
      <c r="B54" s="126"/>
      <c r="C54" s="126">
        <v>68180.39</v>
      </c>
      <c r="D54" s="126">
        <f t="shared" ref="D54:D60" si="17">B54+C54</f>
        <v>68180.39</v>
      </c>
      <c r="E54" s="126">
        <v>68180.39</v>
      </c>
      <c r="F54" s="126">
        <v>68180.39</v>
      </c>
      <c r="G54" s="126">
        <f t="shared" ref="G54:G60" si="18">D54-E54</f>
        <v>0</v>
      </c>
      <c r="H54" s="127" t="s">
        <v>596</v>
      </c>
      <c r="I54" s="94"/>
    </row>
    <row r="55" spans="1:9" x14ac:dyDescent="0.25">
      <c r="A55" s="105" t="s">
        <v>546</v>
      </c>
      <c r="B55" s="126"/>
      <c r="C55" s="126">
        <v>200000</v>
      </c>
      <c r="D55" s="126">
        <f t="shared" si="17"/>
        <v>200000</v>
      </c>
      <c r="E55" s="126">
        <v>0</v>
      </c>
      <c r="F55" s="126">
        <v>0</v>
      </c>
      <c r="G55" s="126">
        <f t="shared" si="18"/>
        <v>200000</v>
      </c>
      <c r="H55" s="127" t="s">
        <v>597</v>
      </c>
      <c r="I55" s="94"/>
    </row>
    <row r="56" spans="1:9" x14ac:dyDescent="0.25">
      <c r="A56" s="105" t="s">
        <v>548</v>
      </c>
      <c r="B56" s="126"/>
      <c r="C56" s="126"/>
      <c r="D56" s="126">
        <f t="shared" si="17"/>
        <v>0</v>
      </c>
      <c r="E56" s="126"/>
      <c r="F56" s="126"/>
      <c r="G56" s="126">
        <f t="shared" si="18"/>
        <v>0</v>
      </c>
      <c r="H56" s="127" t="s">
        <v>598</v>
      </c>
      <c r="I56" s="94"/>
    </row>
    <row r="57" spans="1:9" x14ac:dyDescent="0.25">
      <c r="A57" s="106" t="s">
        <v>550</v>
      </c>
      <c r="B57" s="126"/>
      <c r="C57" s="126"/>
      <c r="D57" s="126">
        <f t="shared" si="17"/>
        <v>0</v>
      </c>
      <c r="E57" s="126"/>
      <c r="F57" s="126"/>
      <c r="G57" s="126">
        <f t="shared" si="18"/>
        <v>0</v>
      </c>
      <c r="H57" s="127" t="s">
        <v>599</v>
      </c>
      <c r="I57" s="94"/>
    </row>
    <row r="58" spans="1:9" x14ac:dyDescent="0.25">
      <c r="A58" s="105" t="s">
        <v>552</v>
      </c>
      <c r="B58" s="126"/>
      <c r="C58" s="126"/>
      <c r="D58" s="126">
        <f t="shared" si="17"/>
        <v>0</v>
      </c>
      <c r="E58" s="126"/>
      <c r="F58" s="126"/>
      <c r="G58" s="126">
        <f t="shared" si="18"/>
        <v>0</v>
      </c>
      <c r="H58" s="127" t="s">
        <v>600</v>
      </c>
      <c r="I58" s="94"/>
    </row>
    <row r="59" spans="1:9" x14ac:dyDescent="0.25">
      <c r="A59" s="105" t="s">
        <v>554</v>
      </c>
      <c r="B59" s="126"/>
      <c r="C59" s="126"/>
      <c r="D59" s="126">
        <f t="shared" si="17"/>
        <v>0</v>
      </c>
      <c r="E59" s="126"/>
      <c r="F59" s="126"/>
      <c r="G59" s="126">
        <f t="shared" si="18"/>
        <v>0</v>
      </c>
      <c r="H59" s="127" t="s">
        <v>601</v>
      </c>
      <c r="I59" s="94"/>
    </row>
    <row r="60" spans="1:9" x14ac:dyDescent="0.25">
      <c r="A60" s="105" t="s">
        <v>556</v>
      </c>
      <c r="B60" s="126"/>
      <c r="C60" s="126"/>
      <c r="D60" s="126">
        <f t="shared" si="17"/>
        <v>0</v>
      </c>
      <c r="E60" s="126"/>
      <c r="F60" s="126"/>
      <c r="G60" s="126">
        <f t="shared" si="18"/>
        <v>0</v>
      </c>
      <c r="H60" s="127" t="s">
        <v>602</v>
      </c>
      <c r="I60" s="94"/>
    </row>
    <row r="61" spans="1:9" x14ac:dyDescent="0.25">
      <c r="A61" s="66" t="s">
        <v>558</v>
      </c>
      <c r="B61" s="126">
        <f t="shared" ref="B61:G61" si="19">SUM(B62:B70)</f>
        <v>0</v>
      </c>
      <c r="C61" s="126">
        <f t="shared" si="19"/>
        <v>0</v>
      </c>
      <c r="D61" s="126">
        <f t="shared" si="19"/>
        <v>0</v>
      </c>
      <c r="E61" s="126">
        <f t="shared" si="19"/>
        <v>0</v>
      </c>
      <c r="F61" s="126">
        <f t="shared" si="19"/>
        <v>0</v>
      </c>
      <c r="G61" s="126">
        <f t="shared" si="19"/>
        <v>0</v>
      </c>
      <c r="I61" s="94"/>
    </row>
    <row r="62" spans="1:9" x14ac:dyDescent="0.25">
      <c r="A62" s="105" t="s">
        <v>559</v>
      </c>
      <c r="B62" s="126"/>
      <c r="C62" s="126"/>
      <c r="D62" s="126">
        <f t="shared" ref="D62:D70" si="20">B62+C62</f>
        <v>0</v>
      </c>
      <c r="E62" s="126"/>
      <c r="F62" s="126"/>
      <c r="G62" s="126">
        <f t="shared" ref="G62:G70" si="21">D62-E62</f>
        <v>0</v>
      </c>
      <c r="H62" s="127" t="s">
        <v>603</v>
      </c>
      <c r="I62" s="94"/>
    </row>
    <row r="63" spans="1:9" x14ac:dyDescent="0.25">
      <c r="A63" s="105" t="s">
        <v>561</v>
      </c>
      <c r="B63" s="126"/>
      <c r="C63" s="126"/>
      <c r="D63" s="126">
        <f t="shared" si="20"/>
        <v>0</v>
      </c>
      <c r="E63" s="126"/>
      <c r="F63" s="126"/>
      <c r="G63" s="126">
        <f t="shared" si="21"/>
        <v>0</v>
      </c>
      <c r="H63" s="127" t="s">
        <v>604</v>
      </c>
      <c r="I63" s="94"/>
    </row>
    <row r="64" spans="1:9" x14ac:dyDescent="0.25">
      <c r="A64" s="105" t="s">
        <v>563</v>
      </c>
      <c r="B64" s="126"/>
      <c r="C64" s="126"/>
      <c r="D64" s="126">
        <f t="shared" si="20"/>
        <v>0</v>
      </c>
      <c r="E64" s="126"/>
      <c r="F64" s="126"/>
      <c r="G64" s="126">
        <f t="shared" si="21"/>
        <v>0</v>
      </c>
      <c r="H64" s="127" t="s">
        <v>605</v>
      </c>
      <c r="I64" s="94"/>
    </row>
    <row r="65" spans="1:9" x14ac:dyDescent="0.25">
      <c r="A65" s="105" t="s">
        <v>565</v>
      </c>
      <c r="B65" s="126"/>
      <c r="C65" s="126"/>
      <c r="D65" s="126">
        <f t="shared" si="20"/>
        <v>0</v>
      </c>
      <c r="E65" s="126"/>
      <c r="F65" s="126"/>
      <c r="G65" s="126">
        <f t="shared" si="21"/>
        <v>0</v>
      </c>
      <c r="H65" s="127" t="s">
        <v>606</v>
      </c>
      <c r="I65" s="94"/>
    </row>
    <row r="66" spans="1:9" x14ac:dyDescent="0.25">
      <c r="A66" s="105" t="s">
        <v>567</v>
      </c>
      <c r="B66" s="126"/>
      <c r="C66" s="126"/>
      <c r="D66" s="126">
        <f t="shared" si="20"/>
        <v>0</v>
      </c>
      <c r="E66" s="126"/>
      <c r="F66" s="126"/>
      <c r="G66" s="126">
        <f t="shared" si="21"/>
        <v>0</v>
      </c>
      <c r="H66" s="127" t="s">
        <v>607</v>
      </c>
      <c r="I66" s="94"/>
    </row>
    <row r="67" spans="1:9" x14ac:dyDescent="0.25">
      <c r="A67" s="105" t="s">
        <v>569</v>
      </c>
      <c r="B67" s="126"/>
      <c r="C67" s="126"/>
      <c r="D67" s="126">
        <f t="shared" si="20"/>
        <v>0</v>
      </c>
      <c r="E67" s="126"/>
      <c r="F67" s="126"/>
      <c r="G67" s="126">
        <f t="shared" si="21"/>
        <v>0</v>
      </c>
      <c r="H67" s="127" t="s">
        <v>608</v>
      </c>
      <c r="I67" s="94"/>
    </row>
    <row r="68" spans="1:9" x14ac:dyDescent="0.25">
      <c r="A68" s="105" t="s">
        <v>571</v>
      </c>
      <c r="B68" s="126"/>
      <c r="C68" s="126"/>
      <c r="D68" s="126">
        <f t="shared" si="20"/>
        <v>0</v>
      </c>
      <c r="E68" s="126"/>
      <c r="F68" s="126"/>
      <c r="G68" s="126">
        <f t="shared" si="21"/>
        <v>0</v>
      </c>
      <c r="H68" s="127" t="s">
        <v>609</v>
      </c>
      <c r="I68" s="94"/>
    </row>
    <row r="69" spans="1:9" x14ac:dyDescent="0.25">
      <c r="A69" s="105" t="s">
        <v>573</v>
      </c>
      <c r="B69" s="126"/>
      <c r="C69" s="126"/>
      <c r="D69" s="126">
        <f t="shared" si="20"/>
        <v>0</v>
      </c>
      <c r="E69" s="126"/>
      <c r="F69" s="126"/>
      <c r="G69" s="126">
        <f t="shared" si="21"/>
        <v>0</v>
      </c>
      <c r="H69" s="127" t="s">
        <v>610</v>
      </c>
      <c r="I69" s="94"/>
    </row>
    <row r="70" spans="1:9" x14ac:dyDescent="0.25">
      <c r="A70" s="105" t="s">
        <v>575</v>
      </c>
      <c r="B70" s="126"/>
      <c r="C70" s="126"/>
      <c r="D70" s="126">
        <f t="shared" si="20"/>
        <v>0</v>
      </c>
      <c r="E70" s="126"/>
      <c r="F70" s="126"/>
      <c r="G70" s="126">
        <f t="shared" si="21"/>
        <v>0</v>
      </c>
      <c r="H70" s="127" t="s">
        <v>611</v>
      </c>
      <c r="I70" s="94"/>
    </row>
    <row r="71" spans="1:9" x14ac:dyDescent="0.25">
      <c r="A71" s="129" t="s">
        <v>612</v>
      </c>
      <c r="B71" s="131">
        <f t="shared" ref="B71:G71" si="22">SUM(B72:B75)</f>
        <v>0</v>
      </c>
      <c r="C71" s="131">
        <f t="shared" si="22"/>
        <v>0</v>
      </c>
      <c r="D71" s="131">
        <f t="shared" si="22"/>
        <v>0</v>
      </c>
      <c r="E71" s="131">
        <f t="shared" si="22"/>
        <v>0</v>
      </c>
      <c r="F71" s="131">
        <f t="shared" si="22"/>
        <v>0</v>
      </c>
      <c r="G71" s="131">
        <f t="shared" si="22"/>
        <v>0</v>
      </c>
      <c r="I71" s="94"/>
    </row>
    <row r="72" spans="1:9" ht="30" x14ac:dyDescent="0.25">
      <c r="A72" s="105" t="s">
        <v>578</v>
      </c>
      <c r="B72" s="126"/>
      <c r="C72" s="126"/>
      <c r="D72" s="126">
        <f>B72+C72</f>
        <v>0</v>
      </c>
      <c r="E72" s="126"/>
      <c r="F72" s="126"/>
      <c r="G72" s="126">
        <f>D72-E72</f>
        <v>0</v>
      </c>
      <c r="H72" s="127" t="s">
        <v>613</v>
      </c>
      <c r="I72" s="94"/>
    </row>
    <row r="73" spans="1:9" ht="30" x14ac:dyDescent="0.25">
      <c r="A73" s="105" t="s">
        <v>580</v>
      </c>
      <c r="B73" s="126"/>
      <c r="C73" s="126"/>
      <c r="D73" s="126">
        <f>B73+C73</f>
        <v>0</v>
      </c>
      <c r="E73" s="126"/>
      <c r="F73" s="126"/>
      <c r="G73" s="126">
        <f>D73-E73</f>
        <v>0</v>
      </c>
      <c r="H73" s="127" t="s">
        <v>614</v>
      </c>
      <c r="I73" s="94"/>
    </row>
    <row r="74" spans="1:9" x14ac:dyDescent="0.25">
      <c r="A74" s="105" t="s">
        <v>582</v>
      </c>
      <c r="B74" s="126"/>
      <c r="C74" s="126"/>
      <c r="D74" s="126">
        <f>B74+C74</f>
        <v>0</v>
      </c>
      <c r="E74" s="126"/>
      <c r="F74" s="126"/>
      <c r="G74" s="126">
        <f>D74-E74</f>
        <v>0</v>
      </c>
      <c r="H74" s="127" t="s">
        <v>615</v>
      </c>
      <c r="I74" s="94"/>
    </row>
    <row r="75" spans="1:9" x14ac:dyDescent="0.25">
      <c r="A75" s="105" t="s">
        <v>584</v>
      </c>
      <c r="B75" s="126"/>
      <c r="C75" s="126"/>
      <c r="D75" s="126">
        <f>B75+C75</f>
        <v>0</v>
      </c>
      <c r="E75" s="126"/>
      <c r="F75" s="126"/>
      <c r="G75" s="126">
        <f>D75-E75</f>
        <v>0</v>
      </c>
      <c r="H75" s="127" t="s">
        <v>616</v>
      </c>
      <c r="I75" s="94"/>
    </row>
    <row r="76" spans="1:9" x14ac:dyDescent="0.25">
      <c r="A76" s="80"/>
      <c r="B76" s="132"/>
      <c r="C76" s="132"/>
      <c r="D76" s="132"/>
      <c r="E76" s="132"/>
      <c r="F76" s="132"/>
      <c r="G76" s="132"/>
      <c r="I76" s="94"/>
    </row>
    <row r="77" spans="1:9" x14ac:dyDescent="0.25">
      <c r="A77" s="64" t="s">
        <v>506</v>
      </c>
      <c r="B77" s="130">
        <f t="shared" ref="B77:I77" si="23">B9+B43</f>
        <v>34709337.149999999</v>
      </c>
      <c r="C77" s="130">
        <f>C9+C43</f>
        <v>30035179.210000001</v>
      </c>
      <c r="D77" s="130">
        <f t="shared" si="23"/>
        <v>64744516.359999999</v>
      </c>
      <c r="E77" s="130">
        <f t="shared" si="23"/>
        <v>56221213.460000001</v>
      </c>
      <c r="F77" s="130">
        <f t="shared" si="23"/>
        <v>55871075.950000003</v>
      </c>
      <c r="G77" s="130">
        <f t="shared" si="23"/>
        <v>8523302.8999999985</v>
      </c>
      <c r="I77" s="94"/>
    </row>
    <row r="78" spans="1:9" x14ac:dyDescent="0.25">
      <c r="A78" s="82"/>
      <c r="B78" s="133"/>
      <c r="C78" s="133"/>
      <c r="D78" s="133"/>
      <c r="E78" s="133"/>
      <c r="F78" s="133"/>
      <c r="G78" s="133"/>
    </row>
    <row r="80" spans="1:9" x14ac:dyDescent="0.25">
      <c r="I80" s="94"/>
    </row>
    <row r="81" spans="3:7 16384:16384" x14ac:dyDescent="0.25">
      <c r="C81" s="109"/>
      <c r="D81" s="109"/>
      <c r="E81" s="109"/>
      <c r="F81" s="109"/>
      <c r="G81" s="109"/>
    </row>
    <row r="82" spans="3:7 16384:16384" x14ac:dyDescent="0.25">
      <c r="C82" s="94"/>
    </row>
    <row r="83" spans="3:7 16384:16384" x14ac:dyDescent="0.25">
      <c r="C83" s="94"/>
    </row>
    <row r="84" spans="3:7 16384:16384" x14ac:dyDescent="0.25">
      <c r="C84" s="94"/>
      <c r="D84" s="94"/>
      <c r="E84" s="94"/>
      <c r="F84" s="94"/>
      <c r="G84" s="94"/>
      <c r="XFD84" s="9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66" fitToHeight="0" orientation="landscape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34"/>
  <sheetViews>
    <sheetView topLeftCell="A4" zoomScaleNormal="100" workbookViewId="0">
      <selection activeCell="D34" sqref="D34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18" t="s">
        <v>617</v>
      </c>
      <c r="B1" s="215"/>
      <c r="C1" s="215"/>
      <c r="D1" s="215"/>
      <c r="E1" s="215"/>
      <c r="F1" s="215"/>
      <c r="G1" s="215"/>
    </row>
    <row r="2" spans="1:7" x14ac:dyDescent="0.25">
      <c r="A2" s="203" t="s">
        <v>1</v>
      </c>
      <c r="B2" s="204"/>
      <c r="C2" s="204"/>
      <c r="D2" s="204"/>
      <c r="E2" s="204"/>
      <c r="F2" s="204"/>
      <c r="G2" s="205"/>
    </row>
    <row r="3" spans="1:7" x14ac:dyDescent="0.25">
      <c r="A3" s="206" t="s">
        <v>297</v>
      </c>
      <c r="B3" s="207"/>
      <c r="C3" s="207"/>
      <c r="D3" s="207"/>
      <c r="E3" s="207"/>
      <c r="F3" s="207"/>
      <c r="G3" s="208"/>
    </row>
    <row r="4" spans="1:7" x14ac:dyDescent="0.25">
      <c r="A4" s="206" t="s">
        <v>618</v>
      </c>
      <c r="B4" s="207"/>
      <c r="C4" s="207"/>
      <c r="D4" s="207"/>
      <c r="E4" s="207"/>
      <c r="F4" s="207"/>
      <c r="G4" s="208"/>
    </row>
    <row r="5" spans="1:7" x14ac:dyDescent="0.25">
      <c r="A5" s="206" t="s">
        <v>750</v>
      </c>
      <c r="B5" s="207"/>
      <c r="C5" s="207"/>
      <c r="D5" s="207"/>
      <c r="E5" s="207"/>
      <c r="F5" s="207"/>
      <c r="G5" s="208"/>
    </row>
    <row r="6" spans="1:7" x14ac:dyDescent="0.25">
      <c r="A6" s="209" t="s">
        <v>3</v>
      </c>
      <c r="B6" s="210"/>
      <c r="C6" s="210"/>
      <c r="D6" s="210"/>
      <c r="E6" s="210"/>
      <c r="F6" s="210"/>
      <c r="G6" s="211"/>
    </row>
    <row r="7" spans="1:7" x14ac:dyDescent="0.25">
      <c r="A7" s="212" t="s">
        <v>619</v>
      </c>
      <c r="B7" s="216" t="s">
        <v>299</v>
      </c>
      <c r="C7" s="216"/>
      <c r="D7" s="216"/>
      <c r="E7" s="216"/>
      <c r="F7" s="216"/>
      <c r="G7" s="216" t="s">
        <v>300</v>
      </c>
    </row>
    <row r="8" spans="1:7" ht="30" x14ac:dyDescent="0.25">
      <c r="A8" s="213"/>
      <c r="B8" s="63" t="s">
        <v>301</v>
      </c>
      <c r="C8" s="134" t="s">
        <v>524</v>
      </c>
      <c r="D8" s="134" t="s">
        <v>232</v>
      </c>
      <c r="E8" s="134" t="s">
        <v>187</v>
      </c>
      <c r="F8" s="134" t="s">
        <v>204</v>
      </c>
      <c r="G8" s="225"/>
    </row>
    <row r="9" spans="1:7" x14ac:dyDescent="0.25">
      <c r="A9" s="100" t="s">
        <v>620</v>
      </c>
      <c r="B9" s="135">
        <f t="shared" ref="B9:G9" si="0">B10+B11+B12+B15+B16+B19</f>
        <v>20244330.23</v>
      </c>
      <c r="C9" s="135">
        <f t="shared" si="0"/>
        <v>4133857.3899999997</v>
      </c>
      <c r="D9" s="135">
        <f t="shared" si="0"/>
        <v>24378187.620000001</v>
      </c>
      <c r="E9" s="135">
        <f t="shared" si="0"/>
        <v>20780309.599999998</v>
      </c>
      <c r="F9" s="135">
        <f t="shared" si="0"/>
        <v>20522092</v>
      </c>
      <c r="G9" s="135">
        <f t="shared" si="0"/>
        <v>3597878.0200000033</v>
      </c>
    </row>
    <row r="10" spans="1:7" x14ac:dyDescent="0.25">
      <c r="A10" s="66" t="s">
        <v>621</v>
      </c>
      <c r="B10" s="136">
        <v>20244330.23</v>
      </c>
      <c r="C10" s="136">
        <v>4133857.3899999997</v>
      </c>
      <c r="D10" s="137">
        <f>B10+C10</f>
        <v>24378187.620000001</v>
      </c>
      <c r="E10" s="136">
        <v>20780309.599999998</v>
      </c>
      <c r="F10" s="136">
        <v>20522092</v>
      </c>
      <c r="G10" s="137">
        <f>D10-E10</f>
        <v>3597878.0200000033</v>
      </c>
    </row>
    <row r="11" spans="1:7" x14ac:dyDescent="0.25">
      <c r="A11" s="66" t="s">
        <v>622</v>
      </c>
      <c r="B11" s="137"/>
      <c r="C11" s="137"/>
      <c r="D11" s="137">
        <f>B11+C11</f>
        <v>0</v>
      </c>
      <c r="E11" s="137"/>
      <c r="F11" s="137"/>
      <c r="G11" s="137">
        <f>D11-E11</f>
        <v>0</v>
      </c>
    </row>
    <row r="12" spans="1:7" x14ac:dyDescent="0.25">
      <c r="A12" s="66" t="s">
        <v>623</v>
      </c>
      <c r="B12" s="137">
        <f t="shared" ref="B12:G12" si="1">B13+B14</f>
        <v>0</v>
      </c>
      <c r="C12" s="137">
        <f t="shared" si="1"/>
        <v>0</v>
      </c>
      <c r="D12" s="137">
        <f t="shared" si="1"/>
        <v>0</v>
      </c>
      <c r="E12" s="137">
        <f t="shared" si="1"/>
        <v>0</v>
      </c>
      <c r="F12" s="137">
        <f t="shared" si="1"/>
        <v>0</v>
      </c>
      <c r="G12" s="137">
        <f t="shared" si="1"/>
        <v>0</v>
      </c>
    </row>
    <row r="13" spans="1:7" x14ac:dyDescent="0.25">
      <c r="A13" s="103" t="s">
        <v>624</v>
      </c>
      <c r="B13" s="137"/>
      <c r="C13" s="137"/>
      <c r="D13" s="137">
        <f>B13+C13</f>
        <v>0</v>
      </c>
      <c r="E13" s="137"/>
      <c r="F13" s="137"/>
      <c r="G13" s="137">
        <f>D13-E13</f>
        <v>0</v>
      </c>
    </row>
    <row r="14" spans="1:7" x14ac:dyDescent="0.25">
      <c r="A14" s="103" t="s">
        <v>625</v>
      </c>
      <c r="B14" s="137"/>
      <c r="C14" s="137"/>
      <c r="D14" s="137">
        <f>B14+C14</f>
        <v>0</v>
      </c>
      <c r="E14" s="137"/>
      <c r="F14" s="137"/>
      <c r="G14" s="137">
        <f>D14-E14</f>
        <v>0</v>
      </c>
    </row>
    <row r="15" spans="1:7" x14ac:dyDescent="0.25">
      <c r="A15" s="66" t="s">
        <v>626</v>
      </c>
      <c r="B15" s="137"/>
      <c r="C15" s="137"/>
      <c r="D15" s="137">
        <f>B15+C15</f>
        <v>0</v>
      </c>
      <c r="E15" s="137"/>
      <c r="F15" s="137"/>
      <c r="G15" s="137">
        <f>D15-E15</f>
        <v>0</v>
      </c>
    </row>
    <row r="16" spans="1:7" ht="30" x14ac:dyDescent="0.25">
      <c r="A16" s="129" t="s">
        <v>627</v>
      </c>
      <c r="B16" s="137">
        <f t="shared" ref="B16:G16" si="2">B17+B18</f>
        <v>0</v>
      </c>
      <c r="C16" s="137">
        <f t="shared" si="2"/>
        <v>0</v>
      </c>
      <c r="D16" s="137">
        <f t="shared" si="2"/>
        <v>0</v>
      </c>
      <c r="E16" s="137">
        <f t="shared" si="2"/>
        <v>0</v>
      </c>
      <c r="F16" s="137">
        <f t="shared" si="2"/>
        <v>0</v>
      </c>
      <c r="G16" s="137">
        <f t="shared" si="2"/>
        <v>0</v>
      </c>
    </row>
    <row r="17" spans="1:7" x14ac:dyDescent="0.25">
      <c r="A17" s="103" t="s">
        <v>628</v>
      </c>
      <c r="B17" s="137"/>
      <c r="C17" s="137"/>
      <c r="D17" s="137">
        <f>B17+C17</f>
        <v>0</v>
      </c>
      <c r="E17" s="137"/>
      <c r="F17" s="137"/>
      <c r="G17" s="137">
        <f>D17-E17</f>
        <v>0</v>
      </c>
    </row>
    <row r="18" spans="1:7" x14ac:dyDescent="0.25">
      <c r="A18" s="103" t="s">
        <v>629</v>
      </c>
      <c r="B18" s="137"/>
      <c r="C18" s="137"/>
      <c r="D18" s="137">
        <f>B18+C18</f>
        <v>0</v>
      </c>
      <c r="E18" s="137"/>
      <c r="F18" s="137"/>
      <c r="G18" s="137">
        <f>D18-E18</f>
        <v>0</v>
      </c>
    </row>
    <row r="19" spans="1:7" x14ac:dyDescent="0.25">
      <c r="A19" s="66" t="s">
        <v>630</v>
      </c>
      <c r="B19" s="137"/>
      <c r="C19" s="137"/>
      <c r="D19" s="137">
        <f>B19+C19</f>
        <v>0</v>
      </c>
      <c r="E19" s="137"/>
      <c r="F19" s="137"/>
      <c r="G19" s="137">
        <f>D19-E19</f>
        <v>0</v>
      </c>
    </row>
    <row r="20" spans="1:7" x14ac:dyDescent="0.25">
      <c r="A20" s="80"/>
      <c r="B20" s="138"/>
      <c r="C20" s="138"/>
      <c r="D20" s="138"/>
      <c r="E20" s="138"/>
      <c r="F20" s="138"/>
      <c r="G20" s="138"/>
    </row>
    <row r="21" spans="1:7" x14ac:dyDescent="0.25">
      <c r="A21" s="139" t="s">
        <v>631</v>
      </c>
      <c r="B21" s="135">
        <f t="shared" ref="B21:G21" si="3">B22+B23+B24+B27+B28+B31</f>
        <v>0</v>
      </c>
      <c r="C21" s="135">
        <f t="shared" si="3"/>
        <v>0</v>
      </c>
      <c r="D21" s="135">
        <f t="shared" si="3"/>
        <v>0</v>
      </c>
      <c r="E21" s="135">
        <f t="shared" si="3"/>
        <v>0</v>
      </c>
      <c r="F21" s="135">
        <f t="shared" si="3"/>
        <v>0</v>
      </c>
      <c r="G21" s="135">
        <f t="shared" si="3"/>
        <v>0</v>
      </c>
    </row>
    <row r="22" spans="1:7" x14ac:dyDescent="0.25">
      <c r="A22" s="66" t="s">
        <v>621</v>
      </c>
      <c r="B22" s="136">
        <v>0</v>
      </c>
      <c r="C22" s="136">
        <v>0</v>
      </c>
      <c r="D22" s="137">
        <f>B22+C22</f>
        <v>0</v>
      </c>
      <c r="E22" s="136">
        <v>0</v>
      </c>
      <c r="F22" s="136">
        <v>0</v>
      </c>
      <c r="G22" s="137">
        <f>D22-E22</f>
        <v>0</v>
      </c>
    </row>
    <row r="23" spans="1:7" x14ac:dyDescent="0.25">
      <c r="A23" s="66" t="s">
        <v>622</v>
      </c>
      <c r="B23" s="137"/>
      <c r="C23" s="137"/>
      <c r="D23" s="137">
        <f>B23+C23</f>
        <v>0</v>
      </c>
      <c r="E23" s="137"/>
      <c r="F23" s="137"/>
      <c r="G23" s="137">
        <f>D23-E23</f>
        <v>0</v>
      </c>
    </row>
    <row r="24" spans="1:7" x14ac:dyDescent="0.25">
      <c r="A24" s="66" t="s">
        <v>623</v>
      </c>
      <c r="B24" s="137">
        <f t="shared" ref="B24:G24" si="4">B25+B26</f>
        <v>0</v>
      </c>
      <c r="C24" s="137">
        <f t="shared" si="4"/>
        <v>0</v>
      </c>
      <c r="D24" s="137">
        <f t="shared" si="4"/>
        <v>0</v>
      </c>
      <c r="E24" s="137">
        <f t="shared" si="4"/>
        <v>0</v>
      </c>
      <c r="F24" s="137">
        <f t="shared" si="4"/>
        <v>0</v>
      </c>
      <c r="G24" s="137">
        <f t="shared" si="4"/>
        <v>0</v>
      </c>
    </row>
    <row r="25" spans="1:7" x14ac:dyDescent="0.25">
      <c r="A25" s="103" t="s">
        <v>624</v>
      </c>
      <c r="B25" s="137"/>
      <c r="C25" s="137"/>
      <c r="D25" s="137">
        <f>B25+C25</f>
        <v>0</v>
      </c>
      <c r="E25" s="137"/>
      <c r="F25" s="137"/>
      <c r="G25" s="137">
        <f>D25-E25</f>
        <v>0</v>
      </c>
    </row>
    <row r="26" spans="1:7" x14ac:dyDescent="0.25">
      <c r="A26" s="103" t="s">
        <v>625</v>
      </c>
      <c r="B26" s="137"/>
      <c r="C26" s="137"/>
      <c r="D26" s="137">
        <f>B26+C26</f>
        <v>0</v>
      </c>
      <c r="E26" s="137"/>
      <c r="F26" s="137"/>
      <c r="G26" s="137">
        <f>D26-E26</f>
        <v>0</v>
      </c>
    </row>
    <row r="27" spans="1:7" x14ac:dyDescent="0.25">
      <c r="A27" s="66" t="s">
        <v>626</v>
      </c>
      <c r="B27" s="137"/>
      <c r="C27" s="137"/>
      <c r="D27" s="137"/>
      <c r="E27" s="137"/>
      <c r="F27" s="137"/>
      <c r="G27" s="137"/>
    </row>
    <row r="28" spans="1:7" ht="30" x14ac:dyDescent="0.25">
      <c r="A28" s="129" t="s">
        <v>627</v>
      </c>
      <c r="B28" s="137">
        <f t="shared" ref="B28:G28" si="5">B29+B30</f>
        <v>0</v>
      </c>
      <c r="C28" s="137">
        <f t="shared" si="5"/>
        <v>0</v>
      </c>
      <c r="D28" s="137">
        <f t="shared" si="5"/>
        <v>0</v>
      </c>
      <c r="E28" s="137">
        <f t="shared" si="5"/>
        <v>0</v>
      </c>
      <c r="F28" s="137">
        <f t="shared" si="5"/>
        <v>0</v>
      </c>
      <c r="G28" s="137">
        <f t="shared" si="5"/>
        <v>0</v>
      </c>
    </row>
    <row r="29" spans="1:7" x14ac:dyDescent="0.25">
      <c r="A29" s="103" t="s">
        <v>628</v>
      </c>
      <c r="B29" s="137"/>
      <c r="C29" s="137"/>
      <c r="D29" s="137">
        <f>B29+C29</f>
        <v>0</v>
      </c>
      <c r="E29" s="137"/>
      <c r="F29" s="137"/>
      <c r="G29" s="137">
        <f>D29-E29</f>
        <v>0</v>
      </c>
    </row>
    <row r="30" spans="1:7" x14ac:dyDescent="0.25">
      <c r="A30" s="103" t="s">
        <v>629</v>
      </c>
      <c r="B30" s="137"/>
      <c r="C30" s="137"/>
      <c r="D30" s="137">
        <f>B30+C30</f>
        <v>0</v>
      </c>
      <c r="E30" s="137"/>
      <c r="F30" s="137"/>
      <c r="G30" s="137">
        <f>D30-E30</f>
        <v>0</v>
      </c>
    </row>
    <row r="31" spans="1:7" x14ac:dyDescent="0.25">
      <c r="A31" s="66" t="s">
        <v>630</v>
      </c>
      <c r="B31" s="137"/>
      <c r="C31" s="137"/>
      <c r="D31" s="137">
        <f>B31+C31</f>
        <v>0</v>
      </c>
      <c r="E31" s="137"/>
      <c r="F31" s="137"/>
      <c r="G31" s="137">
        <f>D31-E31</f>
        <v>0</v>
      </c>
    </row>
    <row r="32" spans="1:7" x14ac:dyDescent="0.25">
      <c r="A32" s="80"/>
      <c r="B32" s="138"/>
      <c r="C32" s="138"/>
      <c r="D32" s="138"/>
      <c r="E32" s="138"/>
      <c r="F32" s="138"/>
      <c r="G32" s="138"/>
    </row>
    <row r="33" spans="1:7" x14ac:dyDescent="0.25">
      <c r="A33" s="64" t="s">
        <v>632</v>
      </c>
      <c r="B33" s="135">
        <f t="shared" ref="B33:G33" si="6">B9+B21</f>
        <v>20244330.23</v>
      </c>
      <c r="C33" s="135">
        <f t="shared" si="6"/>
        <v>4133857.3899999997</v>
      </c>
      <c r="D33" s="135">
        <f t="shared" si="6"/>
        <v>24378187.620000001</v>
      </c>
      <c r="E33" s="135">
        <f t="shared" si="6"/>
        <v>20780309.599999998</v>
      </c>
      <c r="F33" s="135">
        <f t="shared" si="6"/>
        <v>20522092</v>
      </c>
      <c r="G33" s="135">
        <f t="shared" si="6"/>
        <v>3597878.0200000033</v>
      </c>
    </row>
    <row r="34" spans="1:7" x14ac:dyDescent="0.25">
      <c r="A34" s="82"/>
      <c r="B34" s="140"/>
      <c r="C34" s="140"/>
      <c r="D34" s="140"/>
      <c r="E34" s="140"/>
      <c r="F34" s="140"/>
      <c r="G34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51</vt:i4>
      </vt:variant>
    </vt:vector>
  </HeadingPairs>
  <TitlesOfParts>
    <vt:vector size="65" baseType="lpstr"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6d)</vt:lpstr>
      <vt:lpstr>Formato 7a)</vt:lpstr>
      <vt:lpstr>Formato 7b)</vt:lpstr>
      <vt:lpstr>Formato 7c)</vt:lpstr>
      <vt:lpstr>Formato 7d)</vt:lpstr>
      <vt:lpstr>Formato 8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'Formato 4'!Área_de_impresión</vt:lpstr>
      <vt:lpstr>'Formato 6a)'!Área_de_impresión</vt:lpstr>
      <vt:lpstr>'Formato 6c)'!Área_de_impresión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  <vt:lpstr>'Formato 1'!Títulos_a_imprimir</vt:lpstr>
      <vt:lpstr>'Formato 5'!Títulos_a_imprimir</vt:lpstr>
      <vt:lpstr>'Formato 6a)'!Títulos_a_imprimir</vt:lpstr>
      <vt:lpstr>'Formato 6c)'!Títulos_a_imprimir</vt:lpstr>
      <vt:lpstr>'Formato 8'!Títulos_a_imprimir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CpBibiana</dc:creator>
  <cp:lastModifiedBy>Contabilidad</cp:lastModifiedBy>
  <cp:lastPrinted>2020-11-11T16:06:50Z</cp:lastPrinted>
  <dcterms:created xsi:type="dcterms:W3CDTF">2020-07-27T16:30:54Z</dcterms:created>
  <dcterms:modified xsi:type="dcterms:W3CDTF">2021-02-02T19:53:41Z</dcterms:modified>
</cp:coreProperties>
</file>